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IM OANH- NS THANH PHO\CÔNG KHAI\NĂM 2024\QUÝ 1-2024\"/>
    </mc:Choice>
  </mc:AlternateContent>
  <bookViews>
    <workbookView xWindow="240" yWindow="30" windowWidth="15600" windowHeight="10035"/>
  </bookViews>
  <sheets>
    <sheet name="MAU 93-ck (2)" sheetId="8" r:id="rId1"/>
    <sheet name="MAU 94-ck (4)" sheetId="10" r:id="rId2"/>
    <sheet name="MAU 95-CK " sheetId="3" r:id="rId3"/>
  </sheets>
  <definedNames>
    <definedName name="_xlnm.Print_Titles" localSheetId="0">'MAU 93-ck (2)'!$9:$10</definedName>
    <definedName name="_xlnm.Print_Titles" localSheetId="1">'MAU 94-ck (4)'!$9:$10</definedName>
    <definedName name="_xlnm.Print_Titles" localSheetId="2">'MAU 95-CK '!$10:$11</definedName>
  </definedNames>
  <calcPr calcId="162913"/>
</workbook>
</file>

<file path=xl/calcChain.xml><?xml version="1.0" encoding="utf-8"?>
<calcChain xmlns="http://schemas.openxmlformats.org/spreadsheetml/2006/main">
  <c r="F38" i="8" l="1"/>
  <c r="F32" i="8"/>
  <c r="F31" i="8"/>
  <c r="F30" i="8"/>
  <c r="F27" i="8"/>
  <c r="F26" i="8"/>
  <c r="F25" i="8"/>
  <c r="F23" i="8"/>
  <c r="F22" i="8"/>
  <c r="F21" i="8"/>
  <c r="F18" i="8"/>
  <c r="F15" i="8"/>
  <c r="F14" i="8"/>
  <c r="F13" i="8"/>
  <c r="F12" i="8"/>
  <c r="K47" i="3" l="1"/>
  <c r="K45" i="3"/>
  <c r="K43" i="3"/>
  <c r="K42" i="3"/>
  <c r="K41" i="3"/>
  <c r="K40" i="3"/>
  <c r="K39" i="3"/>
  <c r="K38" i="3"/>
  <c r="K37" i="3"/>
  <c r="K36" i="3"/>
  <c r="K35" i="3"/>
  <c r="K34" i="3"/>
  <c r="K33" i="3"/>
  <c r="K31" i="3"/>
  <c r="K29" i="3"/>
  <c r="K28" i="3"/>
  <c r="K27" i="3"/>
  <c r="K25" i="3"/>
  <c r="K24" i="3"/>
  <c r="K23" i="3"/>
  <c r="K21" i="3"/>
  <c r="K20" i="3" l="1"/>
  <c r="K19" i="3"/>
  <c r="K18" i="3"/>
  <c r="K17" i="3"/>
  <c r="K15" i="3"/>
  <c r="K14" i="3"/>
  <c r="K13" i="3"/>
  <c r="K12" i="3"/>
  <c r="K11" i="3"/>
  <c r="K10" i="3"/>
  <c r="K9" i="3"/>
  <c r="M48" i="3" l="1"/>
  <c r="M47" i="3"/>
  <c r="M33" i="3"/>
  <c r="M31" i="3" s="1"/>
  <c r="M30" i="3"/>
  <c r="M18" i="3" s="1"/>
  <c r="M17" i="3" s="1"/>
  <c r="M10" i="3" s="1"/>
  <c r="M9" i="3" s="1"/>
  <c r="M12" i="3"/>
  <c r="M11" i="3" s="1"/>
  <c r="D12" i="3" l="1"/>
  <c r="D11" i="3" s="1"/>
  <c r="F12" i="3"/>
  <c r="F11" i="3" s="1"/>
  <c r="G11" i="3" s="1"/>
  <c r="C12" i="3"/>
  <c r="F57" i="3"/>
  <c r="F56" i="3"/>
  <c r="D52" i="3"/>
  <c r="I48" i="3"/>
  <c r="H48" i="3"/>
  <c r="H47" i="3" s="1"/>
  <c r="F48" i="3"/>
  <c r="F47" i="3" s="1"/>
  <c r="E48" i="3"/>
  <c r="E47" i="3" s="1"/>
  <c r="D47" i="3"/>
  <c r="I45" i="3"/>
  <c r="G43" i="3"/>
  <c r="G42" i="3"/>
  <c r="J41" i="3"/>
  <c r="G41" i="3"/>
  <c r="G40" i="3"/>
  <c r="G38" i="3"/>
  <c r="J37" i="3"/>
  <c r="G37" i="3"/>
  <c r="G36" i="3"/>
  <c r="G35" i="3"/>
  <c r="G34" i="3"/>
  <c r="H33" i="3"/>
  <c r="H31" i="3" s="1"/>
  <c r="F33" i="3"/>
  <c r="F31" i="3" s="1"/>
  <c r="E33" i="3"/>
  <c r="E31" i="3" s="1"/>
  <c r="D33" i="3"/>
  <c r="D31" i="3" s="1"/>
  <c r="J30" i="3"/>
  <c r="G30" i="3"/>
  <c r="G29" i="3"/>
  <c r="G28" i="3"/>
  <c r="G27" i="3"/>
  <c r="G26" i="3"/>
  <c r="G25" i="3"/>
  <c r="G24" i="3"/>
  <c r="G23" i="3"/>
  <c r="G22" i="3"/>
  <c r="G21" i="3"/>
  <c r="G20" i="3"/>
  <c r="G19" i="3"/>
  <c r="H18" i="3"/>
  <c r="F18" i="3"/>
  <c r="E18" i="3"/>
  <c r="D18" i="3"/>
  <c r="F16" i="3"/>
  <c r="G16" i="3" s="1"/>
  <c r="G15" i="3"/>
  <c r="G14" i="3"/>
  <c r="G13" i="3"/>
  <c r="E13" i="3"/>
  <c r="C11" i="3"/>
  <c r="C10" i="3" s="1"/>
  <c r="C9" i="3" s="1"/>
  <c r="J19" i="3" l="1"/>
  <c r="J34" i="3"/>
  <c r="J15" i="3"/>
  <c r="J23" i="3"/>
  <c r="J27" i="3"/>
  <c r="J38" i="3"/>
  <c r="J42" i="3"/>
  <c r="J20" i="3"/>
  <c r="J35" i="3"/>
  <c r="J43" i="3"/>
  <c r="I47" i="3"/>
  <c r="J26" i="3"/>
  <c r="J24" i="3"/>
  <c r="J21" i="3"/>
  <c r="E17" i="3"/>
  <c r="J36" i="3"/>
  <c r="J40" i="3"/>
  <c r="J45" i="3"/>
  <c r="J28" i="3"/>
  <c r="J13" i="3"/>
  <c r="J25" i="3"/>
  <c r="J29" i="3"/>
  <c r="G33" i="3"/>
  <c r="G12" i="3"/>
  <c r="J22" i="3"/>
  <c r="H12" i="3"/>
  <c r="H11" i="3" s="1"/>
  <c r="D17" i="3"/>
  <c r="D10" i="3" s="1"/>
  <c r="D9" i="3" s="1"/>
  <c r="G31" i="3"/>
  <c r="I12" i="3"/>
  <c r="E12" i="3"/>
  <c r="E11" i="3" s="1"/>
  <c r="E10" i="3" s="1"/>
  <c r="E9" i="3" s="1"/>
  <c r="G18" i="3"/>
  <c r="F17" i="3"/>
  <c r="H17" i="3"/>
  <c r="J14" i="3"/>
  <c r="I33" i="3"/>
  <c r="I18" i="3"/>
  <c r="H10" i="3" l="1"/>
  <c r="H9" i="3" s="1"/>
  <c r="G17" i="3"/>
  <c r="I31" i="3"/>
  <c r="I17" i="3" s="1"/>
  <c r="F10" i="3"/>
  <c r="F9" i="3" s="1"/>
  <c r="J18" i="3"/>
  <c r="J12" i="3"/>
  <c r="I11" i="3"/>
  <c r="J33" i="3"/>
  <c r="J17" i="3" l="1"/>
  <c r="I10" i="3"/>
  <c r="J31" i="3"/>
  <c r="G10" i="3"/>
  <c r="G9" i="3" s="1"/>
  <c r="J11" i="3"/>
  <c r="I9" i="3" l="1"/>
  <c r="J10" i="3"/>
  <c r="J9" i="3" l="1"/>
  <c r="H12" i="10"/>
  <c r="H11" i="10" s="1"/>
  <c r="H38" i="10"/>
  <c r="I76" i="10"/>
  <c r="D76" i="10"/>
  <c r="C76" i="10"/>
  <c r="D47" i="10"/>
  <c r="G47" i="10"/>
  <c r="F47" i="10"/>
  <c r="C47" i="10"/>
  <c r="I43" i="10"/>
  <c r="G43" i="10"/>
  <c r="D43" i="10"/>
  <c r="G41" i="10"/>
  <c r="G40" i="10" s="1"/>
  <c r="D41" i="10"/>
  <c r="D40" i="10" s="1"/>
  <c r="F40" i="10"/>
  <c r="F38" i="10" s="1"/>
  <c r="C40" i="10"/>
  <c r="C38" i="10" s="1"/>
  <c r="I39" i="10"/>
  <c r="G39" i="10"/>
  <c r="D39" i="10"/>
  <c r="E38" i="10"/>
  <c r="I33" i="10"/>
  <c r="G33" i="10"/>
  <c r="D33" i="10"/>
  <c r="D32" i="10" s="1"/>
  <c r="I32" i="10"/>
  <c r="I28" i="10"/>
  <c r="G28" i="10"/>
  <c r="D28" i="10"/>
  <c r="K27" i="10"/>
  <c r="I27" i="10"/>
  <c r="D27" i="10"/>
  <c r="J27" i="10" s="1"/>
  <c r="I26" i="10"/>
  <c r="D26" i="10"/>
  <c r="J26" i="10" s="1"/>
  <c r="I25" i="10"/>
  <c r="D25" i="10"/>
  <c r="I24" i="10"/>
  <c r="I23" i="10"/>
  <c r="D23" i="10"/>
  <c r="J23" i="10" s="1"/>
  <c r="I22" i="10"/>
  <c r="D22" i="10"/>
  <c r="J22" i="10" s="1"/>
  <c r="I20" i="10"/>
  <c r="D20" i="10"/>
  <c r="J20" i="10" s="1"/>
  <c r="I18" i="10"/>
  <c r="G18" i="10"/>
  <c r="D18" i="10"/>
  <c r="I17" i="10"/>
  <c r="G12" i="10"/>
  <c r="D17" i="10"/>
  <c r="I15" i="10"/>
  <c r="D15" i="10"/>
  <c r="J15" i="10" s="1"/>
  <c r="I14" i="10"/>
  <c r="D14" i="10"/>
  <c r="J14" i="10" s="1"/>
  <c r="I13" i="10"/>
  <c r="D13" i="10"/>
  <c r="F12" i="10"/>
  <c r="E12" i="10"/>
  <c r="E11" i="10" s="1"/>
  <c r="C12" i="10"/>
  <c r="C11" i="10" s="1"/>
  <c r="J28" i="10" l="1"/>
  <c r="D12" i="10"/>
  <c r="H9" i="10"/>
  <c r="H10" i="10"/>
  <c r="J13" i="10"/>
  <c r="J18" i="10"/>
  <c r="D38" i="10"/>
  <c r="E10" i="10"/>
  <c r="E9" i="10"/>
  <c r="J25" i="10"/>
  <c r="J39" i="10"/>
  <c r="J43" i="10"/>
  <c r="C10" i="10"/>
  <c r="C9" i="10"/>
  <c r="J12" i="10"/>
  <c r="I38" i="10"/>
  <c r="F11" i="10"/>
  <c r="J17" i="10"/>
  <c r="J33" i="10"/>
  <c r="I12" i="10"/>
  <c r="G32" i="10"/>
  <c r="J32" i="10" s="1"/>
  <c r="G38" i="10"/>
  <c r="D24" i="10"/>
  <c r="J38" i="10" l="1"/>
  <c r="G11" i="10"/>
  <c r="G10" i="10" s="1"/>
  <c r="D11" i="10"/>
  <c r="J24" i="10"/>
  <c r="I11" i="10"/>
  <c r="F10" i="10"/>
  <c r="F9" i="10"/>
  <c r="J11" i="10" l="1"/>
  <c r="G9" i="10"/>
  <c r="I9" i="10"/>
  <c r="I10" i="10"/>
  <c r="D9" i="10"/>
  <c r="D10" i="10"/>
  <c r="J10" i="10" s="1"/>
  <c r="J9" i="10" l="1"/>
  <c r="D14" i="8"/>
  <c r="C14" i="8"/>
  <c r="E37" i="8"/>
  <c r="E32" i="8"/>
  <c r="E31" i="8"/>
  <c r="E27" i="8"/>
  <c r="E26" i="8"/>
  <c r="E25" i="8"/>
  <c r="E18" i="8"/>
  <c r="E15" i="8"/>
  <c r="C23" i="8" l="1"/>
  <c r="E14" i="8" l="1"/>
  <c r="C30" i="8" l="1"/>
  <c r="C33" i="8" l="1"/>
  <c r="C22" i="8" s="1"/>
  <c r="D30" i="8" l="1"/>
  <c r="D24" i="8"/>
  <c r="D23" i="8" s="1"/>
  <c r="C24" i="8"/>
  <c r="D13" i="8"/>
  <c r="C13" i="8"/>
  <c r="D22" i="8" l="1"/>
  <c r="D21" i="8" s="1"/>
  <c r="E30" i="8"/>
  <c r="E13" i="8"/>
  <c r="C12" i="8"/>
  <c r="D12" i="8"/>
  <c r="E12" i="8" l="1"/>
  <c r="E22" i="8"/>
  <c r="C21" i="8" l="1"/>
  <c r="E21" i="8" s="1"/>
</calcChain>
</file>

<file path=xl/comments1.xml><?xml version="1.0" encoding="utf-8"?>
<comments xmlns="http://schemas.openxmlformats.org/spreadsheetml/2006/main">
  <authors>
    <author>PhongVuBienHoa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PhongVuBienHoa:</t>
        </r>
        <r>
          <rPr>
            <sz val="8"/>
            <color indexed="81"/>
            <rFont val="Tahoma"/>
            <family val="2"/>
          </rPr>
          <t xml:space="preserve">
của xã tp ko hưởng </t>
        </r>
      </text>
    </comment>
  </commentList>
</comments>
</file>

<file path=xl/sharedStrings.xml><?xml version="1.0" encoding="utf-8"?>
<sst xmlns="http://schemas.openxmlformats.org/spreadsheetml/2006/main" count="224" uniqueCount="177">
  <si>
    <t>STT</t>
  </si>
  <si>
    <t>A</t>
  </si>
  <si>
    <t>B</t>
  </si>
  <si>
    <t>Nội dung</t>
  </si>
  <si>
    <t>3=2/1</t>
  </si>
  <si>
    <t>I</t>
  </si>
  <si>
    <t>Chi đầu tư phát triển</t>
  </si>
  <si>
    <t>Dự phòng ngân sách</t>
  </si>
  <si>
    <t>II</t>
  </si>
  <si>
    <t>III</t>
  </si>
  <si>
    <t>C</t>
  </si>
  <si>
    <t>IV</t>
  </si>
  <si>
    <t>CỘNG HÒA XÃ HỘI CHỦ NGHĨA VIỆT NAM</t>
  </si>
  <si>
    <t>Độc Lập - Tự do- Hạnh Phúc</t>
  </si>
  <si>
    <t>CÂN ĐỐI NGÂN SÁCH THÀNH PHỐ BIÊN HÒA</t>
  </si>
  <si>
    <t>a</t>
  </si>
  <si>
    <t>b</t>
  </si>
  <si>
    <t>Tỉnh thu thành phố hưởng</t>
  </si>
  <si>
    <t>Chi cân đối ngân sách thành phố</t>
  </si>
  <si>
    <t xml:space="preserve">Chi thường xuyên </t>
  </si>
  <si>
    <t>trong đó: cấp thành phố</t>
  </si>
  <si>
    <t>Thu khác ngân sách</t>
  </si>
  <si>
    <t>Thu bổ sung từ ngân sách cấp trên</t>
  </si>
  <si>
    <t>D</t>
  </si>
  <si>
    <t>Chi quốc phòng</t>
  </si>
  <si>
    <t>Chi thường xuyên</t>
  </si>
  <si>
    <t>Khối phường xã</t>
  </si>
  <si>
    <t>Thu kết dư năm trước chuyển sang</t>
  </si>
  <si>
    <t>UBND THÀNH PHỐ BIÊN HÒA</t>
  </si>
  <si>
    <t>PHÒNG TÀI CHÍNH KẾ HOẠCH</t>
  </si>
  <si>
    <t>Chi XDCB nguồn vốn tập trung</t>
  </si>
  <si>
    <t>Chi XDCB nguồn thu tiền sử dụng đất</t>
  </si>
  <si>
    <t>Chi XDCB nguồn xổ sổ kiến thiết</t>
  </si>
  <si>
    <t>Chi tạo nguồn cải cách tiền lương</t>
  </si>
  <si>
    <t xml:space="preserve">Thu cân đối ngân sách thành phố </t>
  </si>
  <si>
    <t>Thu Nội đia</t>
  </si>
  <si>
    <t>Chi đầu tư XDCB</t>
  </si>
  <si>
    <t>Thu quản lý qua ngân sách</t>
  </si>
  <si>
    <t>Chi XDCB khác</t>
  </si>
  <si>
    <t>Thu chuyển nguồn từ năm trước chuyển sang</t>
  </si>
  <si>
    <t>TỔNG CHI NGÂN SÁCH HUYỆN (I+II+III)</t>
  </si>
  <si>
    <t>Tạm chi chưa đưa vào cân đối NS</t>
  </si>
  <si>
    <t>TỔNG NGUỒN THU NSNN TRÊN ĐỊA BÀN ( I+II)</t>
  </si>
  <si>
    <t>-</t>
  </si>
  <si>
    <t>Chi đầu tư phát triển NS thành phố</t>
  </si>
  <si>
    <t>Chi XDCB NS phường xã</t>
  </si>
  <si>
    <t>V</t>
  </si>
  <si>
    <t>Chi khác XDCB ( chuyển vốn ủy thác)</t>
  </si>
  <si>
    <t>Trong đó: nếu loại trừ tiền sử dụng đất</t>
  </si>
  <si>
    <t xml:space="preserve">Chi nộp ngân sách cấp trên </t>
  </si>
  <si>
    <t>Chi chuyển giao ngân sách ( bs ngân sách cấp dưới)</t>
  </si>
  <si>
    <t>Độc Lập - Tự do - Hạnh phúc</t>
  </si>
  <si>
    <t>Thu trên địa bàn</t>
  </si>
  <si>
    <t>Thu điều tiết</t>
  </si>
  <si>
    <t>Thu từ khu vực kinh tế ngoài quốc doanh</t>
  </si>
  <si>
    <t>Trong đó: Thu từ cơ sở kinh doanh nhập khẩu tiếp tục bán ra trong nước</t>
  </si>
  <si>
    <t>- Thuế tài nguyên</t>
  </si>
  <si>
    <t>Thuế sử dụng đất nông nghiệp</t>
  </si>
  <si>
    <t>Thuế CQSDĐ</t>
  </si>
  <si>
    <t>Phí, lệ phí</t>
  </si>
  <si>
    <t>- Phí, lệ phí do cơ quan nhà nước địa phương thu</t>
  </si>
  <si>
    <t>Thu tiền thuê đất, mặt nước</t>
  </si>
  <si>
    <t>Thu từ bán tài sản nhà nước</t>
  </si>
  <si>
    <t xml:space="preserve">                - Do địa phương quản lý</t>
  </si>
  <si>
    <t>Thu tiền cho thuê và bán nhà ở thuộc sở hữu nhà nước</t>
  </si>
  <si>
    <t>Trong cân đối</t>
  </si>
  <si>
    <t>Thu từ quỹ đất công ích và thu hoa lợi công sản khác</t>
  </si>
  <si>
    <t>Thu các quyền khai thác khoáng sản</t>
  </si>
  <si>
    <t>Thu từ hoạt động xổ số kiến thiết (kể cả hoạt động xổ số điện toán)</t>
  </si>
  <si>
    <t>THU TỪ DẦU THÔ</t>
  </si>
  <si>
    <t>Thu bổ sung từ ngân sách tỉnh</t>
  </si>
  <si>
    <t>- Thu bổ sung cân đối</t>
  </si>
  <si>
    <t xml:space="preserve">      + Bổ sung đợt I</t>
  </si>
  <si>
    <t xml:space="preserve">      + Bổ sung đợt II</t>
  </si>
  <si>
    <t>Thu từ nguồn thu tại đơn vị</t>
  </si>
  <si>
    <t>Điều tiết</t>
  </si>
  <si>
    <t>Tổng thu trong cân đối được sử dụng (trừ TSSĐ)</t>
  </si>
  <si>
    <t xml:space="preserve"> - Số thu thành phố hưởng </t>
  </si>
  <si>
    <t>KHOẢN CHI</t>
  </si>
  <si>
    <t xml:space="preserve"> % (Thực hiện/dự toán tỉnh giao)</t>
  </si>
  <si>
    <t>TỔNG CHI NGÂN SÁCH ĐỊA PHƯƠNG ( A+B+C+D)</t>
  </si>
  <si>
    <t xml:space="preserve"> CHI CÂN ĐỐI NS ĐỊA PHƯƠNG ( I+II+III)</t>
  </si>
  <si>
    <t>Chi đầu tư phát triển thành phố</t>
  </si>
  <si>
    <t>Chi đầu tư NS thành phố</t>
  </si>
  <si>
    <t>chi đầu tư XDCB tập trung</t>
  </si>
  <si>
    <t>Chi đầu tư XDCB từ nguồn sử dụng đất</t>
  </si>
  <si>
    <t>Chi đầu tư XDCB từ nguồn xổ số kiến thiết</t>
  </si>
  <si>
    <t xml:space="preserve">Chi thường xuyên theo lĩnh vực </t>
  </si>
  <si>
    <t>II.1</t>
  </si>
  <si>
    <t>Ngân sách thành phố</t>
  </si>
  <si>
    <t>Chi an ninh</t>
  </si>
  <si>
    <t xml:space="preserve">Chi sự nghiệp GDĐT và Dạy nghề </t>
  </si>
  <si>
    <t xml:space="preserve">Chi sự nghiệp y tế </t>
  </si>
  <si>
    <t xml:space="preserve">Chi SN văn hóa thông tin </t>
  </si>
  <si>
    <t xml:space="preserve">Chi SN truyền thanh </t>
  </si>
  <si>
    <t xml:space="preserve">Chi SN thể dục -TT </t>
  </si>
  <si>
    <t xml:space="preserve">Chi SN môi trường  </t>
  </si>
  <si>
    <t xml:space="preserve">Chi SN kinh tế </t>
  </si>
  <si>
    <t xml:space="preserve">Chi bảo đảm XH </t>
  </si>
  <si>
    <t xml:space="preserve">Chi lĩnh vực khác </t>
  </si>
  <si>
    <t>II.2</t>
  </si>
  <si>
    <t xml:space="preserve">Ngân sách phường, xã </t>
  </si>
  <si>
    <t>2.1</t>
  </si>
  <si>
    <t>2.2</t>
  </si>
  <si>
    <t>2.3</t>
  </si>
  <si>
    <t>2.4</t>
  </si>
  <si>
    <t>2.5</t>
  </si>
  <si>
    <t>2.6</t>
  </si>
  <si>
    <t>2.7</t>
  </si>
  <si>
    <t>2.8</t>
  </si>
  <si>
    <t>Chi QL nhà nước, các hội đoàn thể</t>
  </si>
  <si>
    <t>2.9</t>
  </si>
  <si>
    <t>2.10</t>
  </si>
  <si>
    <t xml:space="preserve">CHI CHUYỂN GIAO NGÂN SÁCH </t>
  </si>
  <si>
    <t xml:space="preserve">Chi bổ sung ngân sách cấp xã </t>
  </si>
  <si>
    <t>bổ sung cân đối</t>
  </si>
  <si>
    <t>bổ sung mục tiêu</t>
  </si>
  <si>
    <t>Dự phòng</t>
  </si>
  <si>
    <t>Ngân sách phường xã</t>
  </si>
  <si>
    <t>E</t>
  </si>
  <si>
    <t>CHI CHUYỂN NGUỒN</t>
  </si>
  <si>
    <t>TẠM ỨNG CHƯA ĐƯA VÀO CÂN ĐỐI NS</t>
  </si>
  <si>
    <t>So sánh ước thực hiện với (%)</t>
  </si>
  <si>
    <t xml:space="preserve">Dự toán năm </t>
  </si>
  <si>
    <t>Cùng kỳ năm trước</t>
  </si>
  <si>
    <t>ĐVT: đồng</t>
  </si>
  <si>
    <t>So sánh</t>
  </si>
  <si>
    <t>% ước thực hiệnthu địa bàn / DT 2023</t>
  </si>
  <si>
    <t>% ước thực hiện thu điều tiết năm / DT 2023</t>
  </si>
  <si>
    <t>% so với cùng kỳ</t>
  </si>
  <si>
    <t>6=3/1</t>
  </si>
  <si>
    <t>7=4/1</t>
  </si>
  <si>
    <t xml:space="preserve">TỔNG THU NSNN TRÊN ĐỊA BÀN (I+II+III+IV+V+VI) </t>
  </si>
  <si>
    <t>THU NGÂN SÁCH ĐỊA PHƯƠNG (I+II+III)</t>
  </si>
  <si>
    <t>THU NỘI ĐỊA</t>
  </si>
  <si>
    <t>' Thuế GTGT ( 50%)</t>
  </si>
  <si>
    <t>- Thuế thu nhập doanh nghiệp (50%)</t>
  </si>
  <si>
    <t>- Thuế tiêu thụ đặc biệt ( 50%)</t>
  </si>
  <si>
    <t>Lệ phí trước bạ (100%)</t>
  </si>
  <si>
    <t>Thuế sử dụng đất phi nông nghiệp (100%)</t>
  </si>
  <si>
    <t>Thuế thu nhập cá nhân (50%)</t>
  </si>
  <si>
    <t>Thuế bảo vệ môi trường (50%)</t>
  </si>
  <si>
    <t>Tiền sử dụng đất (60%)</t>
  </si>
  <si>
    <t>- Thu do cơ quan, tổ chức, đơn vị thuộc địa phương quản lý</t>
  </si>
  <si>
    <t>- Thu bổ sung mục tiêu</t>
  </si>
  <si>
    <t>- Thu bổ sung mục tiêu từ nguồn xổ sổ kiến thiết</t>
  </si>
  <si>
    <t>Thu chuyển nguồn</t>
  </si>
  <si>
    <t>Thu nộp ngân sách cấp trên</t>
  </si>
  <si>
    <t>VI</t>
  </si>
  <si>
    <t>Thu kết dư</t>
  </si>
  <si>
    <t>VII</t>
  </si>
  <si>
    <t>Thu từ các đơn vị sự nghiệp tại địa phương (60%)</t>
  </si>
  <si>
    <t>Ghi chú: (1) Bao gồm các khoản thu NSĐP hưởng 100%, các khoản thu phân chia giữa NSTW và NSĐP.</t>
  </si>
  <si>
    <t>Thu trên địa bàn năm 2022</t>
  </si>
  <si>
    <t>Dự toán tỉnh giao</t>
  </si>
  <si>
    <t>Dự toán HĐND giao</t>
  </si>
  <si>
    <t>Thực hiện tháng 2/2023</t>
  </si>
  <si>
    <t>Lũy kế tháng 2/2023</t>
  </si>
  <si>
    <t xml:space="preserve"> % (Thực hiện/dự toán hđnd  giao)</t>
  </si>
  <si>
    <t>Chi QL nhà nước</t>
  </si>
  <si>
    <t>CHI ĐẦU TƯ PHÁT TRIỂN (chi chuyển nguồn)</t>
  </si>
  <si>
    <t>so cùng kỳ</t>
  </si>
  <si>
    <t>Quý 1 năm 2022</t>
  </si>
  <si>
    <t>THỰC HIỆN THU NGÂN SÁCH THÀNH PHỐ QUÝ I NĂM 2024</t>
  </si>
  <si>
    <t>Dự toán năm 2024</t>
  </si>
  <si>
    <t>Thực hiện Thu quý I năm 2024</t>
  </si>
  <si>
    <t>Thu tháng 03 năm 2024</t>
  </si>
  <si>
    <t>Thu trên địa bàn tháng quý 1 năm 2024</t>
  </si>
  <si>
    <t>Thu điều tiết quý I năm 2024</t>
  </si>
  <si>
    <t>BÁO CÁO TÌNH HÌNH THỰC HIỆN CHI NGÂN SÁCH QUÝ I NĂM 2024</t>
  </si>
  <si>
    <t>Thực hiện tháng 3/2024</t>
  </si>
  <si>
    <t>Thực hiện thu Quý I năm 2024</t>
  </si>
  <si>
    <t>Chi đầu tư khác</t>
  </si>
  <si>
    <t xml:space="preserve">Nhiệm vụ chi khác </t>
  </si>
  <si>
    <t>Nhiệm vụ Chi khác XDCB (chuyển vốn ủy thác)</t>
  </si>
  <si>
    <t>QUÝ I NĂM 2024</t>
  </si>
  <si>
    <t>Thực hiện quý 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</si>
</sst>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4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"/>
    </font>
    <font>
      <sz val="11"/>
      <color theme="1"/>
      <name val="Times New Roman"/>
      <family val="1"/>
    </font>
    <font>
      <sz val="11"/>
      <color theme="1"/>
      <name val="T"/>
    </font>
    <font>
      <sz val="10"/>
      <name val="Arial"/>
      <family val="2"/>
      <charset val="163"/>
    </font>
    <font>
      <b/>
      <sz val="11"/>
      <name val="Times New Roman"/>
      <family val="1"/>
    </font>
    <font>
      <b/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name val="Times New Roman"/>
      <family val="1"/>
    </font>
    <font>
      <sz val="11"/>
      <color theme="1"/>
      <name val="Cambria"/>
      <family val="1"/>
      <charset val="163"/>
      <scheme val="major"/>
    </font>
    <font>
      <b/>
      <u/>
      <sz val="11"/>
      <name val="Times New Roman"/>
      <family val="1"/>
    </font>
    <font>
      <sz val="11"/>
      <name val="Cambria"/>
      <family val="1"/>
      <charset val="163"/>
      <scheme val="maj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1"/>
      <color rgb="FFFF0000"/>
      <name val="Times New Roman"/>
      <family val="1"/>
    </font>
    <font>
      <b/>
      <u/>
      <sz val="14"/>
      <name val="Times New Roman"/>
      <family val="1"/>
    </font>
    <font>
      <sz val="11"/>
      <color theme="0"/>
      <name val="Calibri"/>
      <family val="2"/>
      <scheme val="minor"/>
    </font>
    <font>
      <sz val="11"/>
      <color rgb="FFFF0000"/>
      <name val="Times New Roman"/>
      <family val="1"/>
    </font>
    <font>
      <sz val="12"/>
      <name val="Times New Roman"/>
      <family val="2"/>
    </font>
    <font>
      <sz val="12"/>
      <name val="Cambria"/>
      <family val="1"/>
      <scheme val="major"/>
    </font>
    <font>
      <b/>
      <sz val="11"/>
      <name val="Cambria"/>
      <family val="1"/>
      <charset val="163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</cellStyleXfs>
  <cellXfs count="251">
    <xf numFmtId="0" fontId="0" fillId="0" borderId="0" xfId="0"/>
    <xf numFmtId="0" fontId="2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7" fillId="0" borderId="3" xfId="0" applyFont="1" applyBorder="1"/>
    <xf numFmtId="165" fontId="0" fillId="0" borderId="0" xfId="1" applyNumberFormat="1" applyFont="1"/>
    <xf numFmtId="0" fontId="8" fillId="0" borderId="0" xfId="0" applyFont="1"/>
    <xf numFmtId="0" fontId="5" fillId="0" borderId="3" xfId="0" applyFont="1" applyBorder="1"/>
    <xf numFmtId="0" fontId="1" fillId="0" borderId="0" xfId="0" applyFont="1" applyAlignment="1">
      <alignment horizontal="center"/>
    </xf>
    <xf numFmtId="165" fontId="9" fillId="0" borderId="3" xfId="1" applyNumberFormat="1" applyFont="1" applyBorder="1" applyAlignment="1">
      <alignment horizontal="center" vertical="center" wrapText="1"/>
    </xf>
    <xf numFmtId="9" fontId="9" fillId="0" borderId="5" xfId="2" applyFont="1" applyBorder="1" applyAlignment="1">
      <alignment horizontal="center"/>
    </xf>
    <xf numFmtId="165" fontId="9" fillId="0" borderId="5" xfId="1" applyNumberFormat="1" applyFont="1" applyBorder="1"/>
    <xf numFmtId="165" fontId="9" fillId="0" borderId="1" xfId="1" applyNumberFormat="1" applyFont="1" applyBorder="1"/>
    <xf numFmtId="9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/>
    <xf numFmtId="0" fontId="13" fillId="0" borderId="0" xfId="0" applyFont="1"/>
    <xf numFmtId="165" fontId="13" fillId="0" borderId="0" xfId="1" applyNumberFormat="1" applyFont="1"/>
    <xf numFmtId="0" fontId="13" fillId="0" borderId="1" xfId="0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9" fontId="14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0" xfId="0" applyFont="1" applyFill="1"/>
    <xf numFmtId="0" fontId="18" fillId="0" borderId="1" xfId="0" applyFont="1" applyBorder="1" applyAlignment="1">
      <alignment vertical="center" wrapText="1"/>
    </xf>
    <xf numFmtId="0" fontId="13" fillId="0" borderId="1" xfId="0" quotePrefix="1" applyFont="1" applyBorder="1" applyAlignment="1">
      <alignment vertical="center" wrapText="1"/>
    </xf>
    <xf numFmtId="9" fontId="13" fillId="0" borderId="1" xfId="2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9" fontId="14" fillId="0" borderId="0" xfId="2" applyFont="1" applyBorder="1" applyAlignment="1">
      <alignment horizontal="center" vertical="center" wrapText="1"/>
    </xf>
    <xf numFmtId="165" fontId="14" fillId="0" borderId="0" xfId="1" applyNumberFormat="1" applyFont="1"/>
    <xf numFmtId="165" fontId="14" fillId="0" borderId="0" xfId="0" applyNumberFormat="1" applyFont="1"/>
    <xf numFmtId="165" fontId="20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3" fontId="0" fillId="0" borderId="0" xfId="0" applyNumberFormat="1"/>
    <xf numFmtId="0" fontId="0" fillId="0" borderId="0" xfId="0" applyFont="1"/>
    <xf numFmtId="0" fontId="25" fillId="0" borderId="7" xfId="0" applyFont="1" applyFill="1" applyBorder="1" applyAlignment="1">
      <alignment vertical="top"/>
    </xf>
    <xf numFmtId="0" fontId="26" fillId="0" borderId="7" xfId="3" applyFont="1" applyFill="1" applyBorder="1" applyAlignment="1">
      <alignment horizontal="left" vertical="top" wrapText="1"/>
    </xf>
    <xf numFmtId="3" fontId="19" fillId="2" borderId="7" xfId="0" applyNumberFormat="1" applyFont="1" applyFill="1" applyBorder="1" applyAlignment="1">
      <alignment vertical="distributed"/>
    </xf>
    <xf numFmtId="9" fontId="24" fillId="0" borderId="1" xfId="2" applyFont="1" applyFill="1" applyBorder="1" applyAlignment="1">
      <alignment vertical="distributed"/>
    </xf>
    <xf numFmtId="3" fontId="0" fillId="0" borderId="0" xfId="0" applyNumberFormat="1" applyFont="1"/>
    <xf numFmtId="0" fontId="25" fillId="2" borderId="1" xfId="0" applyFont="1" applyFill="1" applyBorder="1" applyAlignment="1">
      <alignment vertical="top"/>
    </xf>
    <xf numFmtId="0" fontId="26" fillId="2" borderId="1" xfId="3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vertical="distributed"/>
    </xf>
    <xf numFmtId="0" fontId="0" fillId="2" borderId="0" xfId="0" applyFont="1" applyFill="1"/>
    <xf numFmtId="0" fontId="25" fillId="0" borderId="3" xfId="0" applyFont="1" applyFill="1" applyBorder="1" applyAlignment="1">
      <alignment vertical="top"/>
    </xf>
    <xf numFmtId="3" fontId="24" fillId="0" borderId="3" xfId="0" applyNumberFormat="1" applyFont="1" applyFill="1" applyBorder="1" applyAlignment="1">
      <alignment vertical="distributed"/>
    </xf>
    <xf numFmtId="3" fontId="24" fillId="2" borderId="3" xfId="0" applyNumberFormat="1" applyFont="1" applyFill="1" applyBorder="1" applyAlignment="1">
      <alignment vertical="distributed"/>
    </xf>
    <xf numFmtId="0" fontId="25" fillId="0" borderId="3" xfId="0" applyFont="1" applyFill="1" applyBorder="1" applyAlignment="1">
      <alignment horizontal="center" vertical="top"/>
    </xf>
    <xf numFmtId="9" fontId="24" fillId="2" borderId="1" xfId="2" applyFont="1" applyFill="1" applyBorder="1" applyAlignment="1">
      <alignment vertical="distributed"/>
    </xf>
    <xf numFmtId="0" fontId="27" fillId="0" borderId="3" xfId="0" applyFont="1" applyFill="1" applyBorder="1" applyAlignment="1">
      <alignment vertical="top"/>
    </xf>
    <xf numFmtId="3" fontId="29" fillId="2" borderId="3" xfId="0" applyNumberFormat="1" applyFont="1" applyFill="1" applyBorder="1" applyAlignment="1">
      <alignment horizontal="right" vertical="distributed"/>
    </xf>
    <xf numFmtId="9" fontId="29" fillId="0" borderId="1" xfId="2" applyFont="1" applyFill="1" applyBorder="1" applyAlignment="1">
      <alignment vertical="distributed"/>
    </xf>
    <xf numFmtId="3" fontId="29" fillId="0" borderId="3" xfId="0" applyNumberFormat="1" applyFont="1" applyFill="1" applyBorder="1" applyAlignment="1">
      <alignment vertical="distributed"/>
    </xf>
    <xf numFmtId="3" fontId="24" fillId="2" borderId="3" xfId="0" applyNumberFormat="1" applyFont="1" applyFill="1" applyBorder="1" applyAlignment="1">
      <alignment horizontal="right" vertical="distributed"/>
    </xf>
    <xf numFmtId="0" fontId="25" fillId="0" borderId="1" xfId="0" applyFont="1" applyFill="1" applyBorder="1" applyAlignment="1">
      <alignment vertical="top"/>
    </xf>
    <xf numFmtId="165" fontId="25" fillId="0" borderId="1" xfId="1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vertical="distributed"/>
    </xf>
    <xf numFmtId="3" fontId="29" fillId="2" borderId="1" xfId="0" applyNumberFormat="1" applyFont="1" applyFill="1" applyBorder="1" applyAlignment="1">
      <alignment vertical="distributed"/>
    </xf>
    <xf numFmtId="0" fontId="27" fillId="0" borderId="8" xfId="0" applyFont="1" applyFill="1" applyBorder="1" applyAlignment="1">
      <alignment horizontal="left" vertical="top"/>
    </xf>
    <xf numFmtId="0" fontId="27" fillId="0" borderId="9" xfId="0" applyFont="1" applyFill="1" applyBorder="1" applyAlignment="1">
      <alignment vertical="top"/>
    </xf>
    <xf numFmtId="3" fontId="29" fillId="2" borderId="9" xfId="0" applyNumberFormat="1" applyFont="1" applyFill="1" applyBorder="1" applyAlignment="1">
      <alignment horizontal="right" vertical="distributed"/>
    </xf>
    <xf numFmtId="3" fontId="29" fillId="2" borderId="6" xfId="0" applyNumberFormat="1" applyFont="1" applyFill="1" applyBorder="1" applyAlignment="1">
      <alignment horizontal="right" vertical="distributed"/>
    </xf>
    <xf numFmtId="0" fontId="27" fillId="0" borderId="4" xfId="0" applyFont="1" applyFill="1" applyBorder="1" applyAlignment="1">
      <alignment vertical="top"/>
    </xf>
    <xf numFmtId="3" fontId="29" fillId="2" borderId="4" xfId="0" applyNumberFormat="1" applyFont="1" applyFill="1" applyBorder="1" applyAlignment="1">
      <alignment horizontal="right" vertical="distributed"/>
    </xf>
    <xf numFmtId="0" fontId="30" fillId="0" borderId="4" xfId="0" applyFont="1" applyFill="1" applyBorder="1" applyAlignment="1">
      <alignment vertical="top"/>
    </xf>
    <xf numFmtId="3" fontId="29" fillId="2" borderId="4" xfId="0" applyNumberFormat="1" applyFont="1" applyFill="1" applyBorder="1" applyAlignment="1">
      <alignment vertical="distributed"/>
    </xf>
    <xf numFmtId="0" fontId="30" fillId="0" borderId="10" xfId="0" applyFont="1" applyFill="1" applyBorder="1" applyAlignment="1">
      <alignment vertical="top"/>
    </xf>
    <xf numFmtId="0" fontId="30" fillId="0" borderId="11" xfId="0" applyFont="1" applyFill="1" applyBorder="1" applyAlignment="1">
      <alignment vertical="top"/>
    </xf>
    <xf numFmtId="3" fontId="29" fillId="2" borderId="12" xfId="0" applyNumberFormat="1" applyFont="1" applyFill="1" applyBorder="1" applyAlignment="1">
      <alignment vertical="distributed"/>
    </xf>
    <xf numFmtId="0" fontId="26" fillId="0" borderId="1" xfId="0" applyFont="1" applyFill="1" applyBorder="1" applyAlignment="1">
      <alignment vertical="top"/>
    </xf>
    <xf numFmtId="3" fontId="31" fillId="2" borderId="1" xfId="0" applyNumberFormat="1" applyFont="1" applyFill="1" applyBorder="1" applyAlignment="1">
      <alignment vertical="distributed"/>
    </xf>
    <xf numFmtId="9" fontId="31" fillId="0" borderId="1" xfId="2" applyFont="1" applyFill="1" applyBorder="1" applyAlignment="1">
      <alignment vertical="distributed"/>
    </xf>
    <xf numFmtId="0" fontId="27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top"/>
    </xf>
    <xf numFmtId="3" fontId="29" fillId="2" borderId="1" xfId="0" applyNumberFormat="1" applyFont="1" applyFill="1" applyBorder="1" applyAlignment="1">
      <alignment horizontal="right" vertical="distributed"/>
    </xf>
    <xf numFmtId="3" fontId="24" fillId="0" borderId="1" xfId="0" applyNumberFormat="1" applyFont="1" applyFill="1" applyBorder="1" applyAlignment="1">
      <alignment horizontal="right" vertical="distributed"/>
    </xf>
    <xf numFmtId="0" fontId="26" fillId="0" borderId="1" xfId="0" applyFont="1" applyFill="1" applyBorder="1" applyAlignment="1">
      <alignment horizontal="center" vertical="top"/>
    </xf>
    <xf numFmtId="3" fontId="29" fillId="2" borderId="9" xfId="0" applyNumberFormat="1" applyFont="1" applyFill="1" applyBorder="1" applyAlignment="1">
      <alignment vertical="distributed"/>
    </xf>
    <xf numFmtId="0" fontId="32" fillId="0" borderId="4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30" fillId="0" borderId="13" xfId="0" applyFont="1" applyFill="1" applyBorder="1" applyAlignment="1">
      <alignment vertical="top"/>
    </xf>
    <xf numFmtId="3" fontId="29" fillId="2" borderId="6" xfId="0" applyNumberFormat="1" applyFont="1" applyFill="1" applyBorder="1" applyAlignment="1">
      <alignment vertical="distributed"/>
    </xf>
    <xf numFmtId="0" fontId="26" fillId="0" borderId="1" xfId="3" applyFont="1" applyFill="1" applyBorder="1" applyAlignment="1">
      <alignment horizontal="left" vertical="top" wrapText="1"/>
    </xf>
    <xf numFmtId="3" fontId="24" fillId="2" borderId="1" xfId="0" applyNumberFormat="1" applyFont="1" applyFill="1" applyBorder="1" applyAlignment="1">
      <alignment horizontal="right" vertical="distributed"/>
    </xf>
    <xf numFmtId="0" fontId="26" fillId="2" borderId="1" xfId="0" applyFont="1" applyFill="1" applyBorder="1" applyAlignment="1">
      <alignment vertical="top"/>
    </xf>
    <xf numFmtId="0" fontId="24" fillId="2" borderId="14" xfId="0" applyFont="1" applyFill="1" applyBorder="1" applyAlignment="1">
      <alignment wrapText="1"/>
    </xf>
    <xf numFmtId="165" fontId="24" fillId="2" borderId="7" xfId="1" applyNumberFormat="1" applyFont="1" applyFill="1" applyBorder="1"/>
    <xf numFmtId="165" fontId="28" fillId="2" borderId="14" xfId="1" applyNumberFormat="1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26" fillId="0" borderId="14" xfId="0" applyFont="1" applyFill="1" applyBorder="1" applyAlignment="1">
      <alignment vertical="top"/>
    </xf>
    <xf numFmtId="3" fontId="29" fillId="0" borderId="14" xfId="0" applyNumberFormat="1" applyFont="1" applyFill="1" applyBorder="1" applyAlignment="1">
      <alignment vertical="distributed"/>
    </xf>
    <xf numFmtId="3" fontId="24" fillId="0" borderId="14" xfId="0" applyNumberFormat="1" applyFont="1" applyFill="1" applyBorder="1" applyAlignment="1">
      <alignment vertical="distributed"/>
    </xf>
    <xf numFmtId="165" fontId="27" fillId="0" borderId="7" xfId="1" applyNumberFormat="1" applyFont="1" applyFill="1" applyBorder="1" applyAlignment="1">
      <alignment vertical="top"/>
    </xf>
    <xf numFmtId="165" fontId="28" fillId="0" borderId="14" xfId="1" applyNumberFormat="1" applyFont="1" applyFill="1" applyBorder="1" applyAlignment="1">
      <alignment vertical="top"/>
    </xf>
    <xf numFmtId="0" fontId="25" fillId="0" borderId="8" xfId="0" applyFont="1" applyFill="1" applyBorder="1" applyAlignment="1">
      <alignment vertical="top"/>
    </xf>
    <xf numFmtId="0" fontId="26" fillId="0" borderId="8" xfId="0" applyFont="1" applyFill="1" applyBorder="1" applyAlignment="1">
      <alignment vertical="top"/>
    </xf>
    <xf numFmtId="165" fontId="26" fillId="0" borderId="8" xfId="1" applyNumberFormat="1" applyFont="1" applyFill="1" applyBorder="1" applyAlignment="1">
      <alignment vertical="top"/>
    </xf>
    <xf numFmtId="3" fontId="24" fillId="0" borderId="8" xfId="0" applyNumberFormat="1" applyFont="1" applyFill="1" applyBorder="1" applyAlignment="1">
      <alignment vertical="distributed"/>
    </xf>
    <xf numFmtId="3" fontId="24" fillId="0" borderId="8" xfId="0" applyNumberFormat="1" applyFont="1" applyFill="1" applyBorder="1" applyAlignment="1">
      <alignment horizontal="right" vertical="distributed"/>
    </xf>
    <xf numFmtId="3" fontId="24" fillId="0" borderId="7" xfId="0" applyNumberFormat="1" applyFont="1" applyFill="1" applyBorder="1" applyAlignment="1">
      <alignment horizontal="right" vertical="distributed"/>
    </xf>
    <xf numFmtId="0" fontId="25" fillId="0" borderId="13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165" fontId="26" fillId="0" borderId="13" xfId="1" applyNumberFormat="1" applyFont="1" applyFill="1" applyBorder="1" applyAlignment="1">
      <alignment vertical="top"/>
    </xf>
    <xf numFmtId="3" fontId="24" fillId="0" borderId="13" xfId="0" applyNumberFormat="1" applyFont="1" applyFill="1" applyBorder="1" applyAlignment="1">
      <alignment vertical="distributed"/>
    </xf>
    <xf numFmtId="3" fontId="24" fillId="0" borderId="13" xfId="0" applyNumberFormat="1" applyFont="1" applyFill="1" applyBorder="1" applyAlignment="1">
      <alignment horizontal="right" vertical="distributed"/>
    </xf>
    <xf numFmtId="165" fontId="25" fillId="0" borderId="8" xfId="1" applyNumberFormat="1" applyFont="1" applyFill="1" applyBorder="1" applyAlignment="1">
      <alignment vertical="top"/>
    </xf>
    <xf numFmtId="165" fontId="25" fillId="0" borderId="13" xfId="1" applyNumberFormat="1" applyFont="1" applyFill="1" applyBorder="1" applyAlignment="1">
      <alignment vertical="top"/>
    </xf>
    <xf numFmtId="0" fontId="33" fillId="0" borderId="0" xfId="0" applyFont="1"/>
    <xf numFmtId="0" fontId="34" fillId="0" borderId="0" xfId="0" quotePrefix="1" applyFont="1"/>
    <xf numFmtId="165" fontId="4" fillId="0" borderId="0" xfId="1" applyNumberFormat="1" applyFont="1"/>
    <xf numFmtId="3" fontId="29" fillId="0" borderId="9" xfId="0" applyNumberFormat="1" applyFont="1" applyFill="1" applyBorder="1" applyAlignment="1">
      <alignment vertical="distributed"/>
    </xf>
    <xf numFmtId="3" fontId="29" fillId="0" borderId="4" xfId="0" applyNumberFormat="1" applyFont="1" applyFill="1" applyBorder="1" applyAlignment="1">
      <alignment vertical="distributed"/>
    </xf>
    <xf numFmtId="3" fontId="29" fillId="0" borderId="12" xfId="0" applyNumberFormat="1" applyFont="1" applyFill="1" applyBorder="1" applyAlignment="1">
      <alignment vertical="distributed"/>
    </xf>
    <xf numFmtId="0" fontId="4" fillId="0" borderId="0" xfId="0" applyFont="1" applyAlignment="1"/>
    <xf numFmtId="165" fontId="7" fillId="0" borderId="0" xfId="1" applyNumberFormat="1" applyFont="1"/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5" xfId="0" quotePrefix="1" applyFont="1" applyBorder="1" applyAlignment="1">
      <alignment horizontal="center"/>
    </xf>
    <xf numFmtId="0" fontId="11" fillId="0" borderId="5" xfId="0" applyFont="1" applyBorder="1"/>
    <xf numFmtId="0" fontId="11" fillId="0" borderId="1" xfId="0" quotePrefix="1" applyFont="1" applyBorder="1" applyAlignment="1">
      <alignment horizontal="center"/>
    </xf>
    <xf numFmtId="0" fontId="15" fillId="0" borderId="1" xfId="0" applyFont="1" applyBorder="1"/>
    <xf numFmtId="0" fontId="9" fillId="0" borderId="6" xfId="0" quotePrefix="1" applyFont="1" applyBorder="1" applyAlignment="1">
      <alignment horizontal="center"/>
    </xf>
    <xf numFmtId="0" fontId="9" fillId="0" borderId="6" xfId="0" applyFont="1" applyBorder="1"/>
    <xf numFmtId="0" fontId="9" fillId="0" borderId="4" xfId="0" quotePrefix="1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9" fillId="0" borderId="4" xfId="0" applyFont="1" applyBorder="1"/>
    <xf numFmtId="0" fontId="9" fillId="0" borderId="5" xfId="0" quotePrefix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7" xfId="0" applyFont="1" applyBorder="1"/>
    <xf numFmtId="165" fontId="14" fillId="0" borderId="0" xfId="1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distributed"/>
    </xf>
    <xf numFmtId="0" fontId="10" fillId="0" borderId="1" xfId="0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/>
    </xf>
    <xf numFmtId="9" fontId="9" fillId="0" borderId="7" xfId="2" applyFont="1" applyBorder="1" applyAlignment="1">
      <alignment horizontal="center"/>
    </xf>
    <xf numFmtId="10" fontId="37" fillId="0" borderId="1" xfId="2" applyNumberFormat="1" applyFont="1" applyBorder="1" applyAlignment="1">
      <alignment horizontal="center"/>
    </xf>
    <xf numFmtId="9" fontId="11" fillId="0" borderId="1" xfId="2" applyFont="1" applyBorder="1" applyAlignment="1">
      <alignment horizontal="center"/>
    </xf>
    <xf numFmtId="9" fontId="11" fillId="0" borderId="7" xfId="2" applyFont="1" applyBorder="1" applyAlignment="1">
      <alignment horizontal="center"/>
    </xf>
    <xf numFmtId="9" fontId="9" fillId="0" borderId="6" xfId="2" applyFont="1" applyBorder="1" applyAlignment="1">
      <alignment horizontal="center"/>
    </xf>
    <xf numFmtId="9" fontId="9" fillId="0" borderId="4" xfId="2" applyFont="1" applyBorder="1" applyAlignment="1">
      <alignment horizontal="center"/>
    </xf>
    <xf numFmtId="0" fontId="7" fillId="0" borderId="1" xfId="0" applyFont="1" applyBorder="1"/>
    <xf numFmtId="165" fontId="3" fillId="0" borderId="0" xfId="1" applyNumberFormat="1" applyFont="1"/>
    <xf numFmtId="9" fontId="13" fillId="0" borderId="0" xfId="2" applyFont="1"/>
    <xf numFmtId="165" fontId="18" fillId="0" borderId="0" xfId="1" applyNumberFormat="1" applyFont="1" applyBorder="1" applyAlignment="1">
      <alignment horizontal="center" vertical="center"/>
    </xf>
    <xf numFmtId="165" fontId="14" fillId="2" borderId="15" xfId="1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/>
    <xf numFmtId="0" fontId="14" fillId="0" borderId="0" xfId="0" applyFont="1"/>
    <xf numFmtId="165" fontId="14" fillId="0" borderId="0" xfId="1" applyNumberFormat="1" applyFont="1" applyAlignment="1"/>
    <xf numFmtId="3" fontId="38" fillId="2" borderId="0" xfId="0" applyNumberFormat="1" applyFont="1" applyFill="1"/>
    <xf numFmtId="3" fontId="19" fillId="2" borderId="1" xfId="0" applyNumberFormat="1" applyFont="1" applyFill="1" applyBorder="1" applyAlignment="1">
      <alignment vertical="distributed"/>
    </xf>
    <xf numFmtId="9" fontId="24" fillId="0" borderId="7" xfId="2" applyFont="1" applyFill="1" applyBorder="1" applyAlignment="1">
      <alignment vertical="distributed"/>
    </xf>
    <xf numFmtId="10" fontId="24" fillId="0" borderId="1" xfId="2" applyNumberFormat="1" applyFont="1" applyFill="1" applyBorder="1" applyAlignment="1">
      <alignment vertical="distributed"/>
    </xf>
    <xf numFmtId="10" fontId="24" fillId="0" borderId="7" xfId="2" applyNumberFormat="1" applyFont="1" applyFill="1" applyBorder="1" applyAlignment="1">
      <alignment vertical="distributed"/>
    </xf>
    <xf numFmtId="165" fontId="0" fillId="0" borderId="0" xfId="0" applyNumberFormat="1" applyFont="1"/>
    <xf numFmtId="165" fontId="27" fillId="0" borderId="9" xfId="1" applyNumberFormat="1" applyFont="1" applyFill="1" applyBorder="1" applyAlignment="1">
      <alignment vertical="top"/>
    </xf>
    <xf numFmtId="9" fontId="24" fillId="0" borderId="6" xfId="2" applyFont="1" applyFill="1" applyBorder="1" applyAlignment="1">
      <alignment vertical="distributed"/>
    </xf>
    <xf numFmtId="165" fontId="27" fillId="0" borderId="4" xfId="1" applyNumberFormat="1" applyFont="1" applyFill="1" applyBorder="1" applyAlignment="1">
      <alignment vertical="top"/>
    </xf>
    <xf numFmtId="9" fontId="24" fillId="0" borderId="4" xfId="2" applyFont="1" applyFill="1" applyBorder="1" applyAlignment="1">
      <alignment vertical="distributed"/>
    </xf>
    <xf numFmtId="165" fontId="30" fillId="0" borderId="4" xfId="1" applyNumberFormat="1" applyFont="1" applyFill="1" applyBorder="1" applyAlignment="1">
      <alignment vertical="top"/>
    </xf>
    <xf numFmtId="165" fontId="30" fillId="0" borderId="12" xfId="1" applyNumberFormat="1" applyFont="1" applyFill="1" applyBorder="1" applyAlignment="1">
      <alignment vertical="top"/>
    </xf>
    <xf numFmtId="9" fontId="24" fillId="0" borderId="12" xfId="2" applyFont="1" applyFill="1" applyBorder="1" applyAlignment="1">
      <alignment vertical="distributed"/>
    </xf>
    <xf numFmtId="165" fontId="26" fillId="0" borderId="1" xfId="1" applyNumberFormat="1" applyFont="1" applyFill="1" applyBorder="1" applyAlignment="1">
      <alignment vertical="top"/>
    </xf>
    <xf numFmtId="165" fontId="26" fillId="0" borderId="9" xfId="1" applyNumberFormat="1" applyFont="1" applyFill="1" applyBorder="1" applyAlignment="1">
      <alignment vertical="top"/>
    </xf>
    <xf numFmtId="9" fontId="29" fillId="0" borderId="9" xfId="2" applyFont="1" applyFill="1" applyBorder="1" applyAlignment="1">
      <alignment vertical="distributed"/>
    </xf>
    <xf numFmtId="165" fontId="26" fillId="0" borderId="4" xfId="1" applyNumberFormat="1" applyFont="1" applyFill="1" applyBorder="1" applyAlignment="1">
      <alignment vertical="top"/>
    </xf>
    <xf numFmtId="9" fontId="29" fillId="0" borderId="4" xfId="2" applyFont="1" applyFill="1" applyBorder="1" applyAlignment="1">
      <alignment vertical="distributed"/>
    </xf>
    <xf numFmtId="165" fontId="26" fillId="0" borderId="12" xfId="1" applyNumberFormat="1" applyFont="1" applyFill="1" applyBorder="1" applyAlignment="1">
      <alignment vertical="top"/>
    </xf>
    <xf numFmtId="9" fontId="29" fillId="0" borderId="12" xfId="2" applyFont="1" applyFill="1" applyBorder="1" applyAlignment="1">
      <alignment vertical="distributed"/>
    </xf>
    <xf numFmtId="3" fontId="39" fillId="0" borderId="3" xfId="0" applyNumberFormat="1" applyFont="1" applyFill="1" applyBorder="1" applyAlignment="1">
      <alignment vertical="distributed"/>
    </xf>
    <xf numFmtId="3" fontId="36" fillId="2" borderId="1" xfId="0" applyNumberFormat="1" applyFont="1" applyFill="1" applyBorder="1" applyAlignment="1">
      <alignment vertical="distributed"/>
    </xf>
    <xf numFmtId="165" fontId="27" fillId="0" borderId="14" xfId="1" applyNumberFormat="1" applyFont="1" applyFill="1" applyBorder="1" applyAlignment="1">
      <alignment vertical="top"/>
    </xf>
    <xf numFmtId="3" fontId="21" fillId="0" borderId="14" xfId="0" applyNumberFormat="1" applyFont="1" applyFill="1" applyBorder="1" applyAlignment="1">
      <alignment vertical="distributed"/>
    </xf>
    <xf numFmtId="3" fontId="21" fillId="0" borderId="7" xfId="0" applyNumberFormat="1" applyFont="1" applyFill="1" applyBorder="1" applyAlignment="1">
      <alignment vertical="distributed"/>
    </xf>
    <xf numFmtId="3" fontId="19" fillId="0" borderId="1" xfId="0" applyNumberFormat="1" applyFont="1" applyFill="1" applyBorder="1" applyAlignment="1">
      <alignment vertical="distributed"/>
    </xf>
    <xf numFmtId="3" fontId="19" fillId="0" borderId="8" xfId="0" applyNumberFormat="1" applyFont="1" applyFill="1" applyBorder="1" applyAlignment="1">
      <alignment vertical="distributed"/>
    </xf>
    <xf numFmtId="3" fontId="19" fillId="0" borderId="8" xfId="0" applyNumberFormat="1" applyFont="1" applyFill="1" applyBorder="1" applyAlignment="1">
      <alignment horizontal="right" vertical="distributed"/>
    </xf>
    <xf numFmtId="3" fontId="19" fillId="0" borderId="13" xfId="0" applyNumberFormat="1" applyFont="1" applyFill="1" applyBorder="1" applyAlignment="1">
      <alignment vertical="distributed"/>
    </xf>
    <xf numFmtId="3" fontId="19" fillId="0" borderId="13" xfId="0" applyNumberFormat="1" applyFont="1" applyFill="1" applyBorder="1" applyAlignment="1">
      <alignment horizontal="right" vertical="distributed"/>
    </xf>
    <xf numFmtId="3" fontId="24" fillId="0" borderId="18" xfId="0" applyNumberFormat="1" applyFont="1" applyFill="1" applyBorder="1" applyAlignment="1">
      <alignment horizontal="right" vertical="distributed"/>
    </xf>
    <xf numFmtId="3" fontId="24" fillId="0" borderId="14" xfId="0" applyNumberFormat="1" applyFont="1" applyFill="1" applyBorder="1" applyAlignment="1">
      <alignment horizontal="right" vertical="distributed"/>
    </xf>
    <xf numFmtId="0" fontId="0" fillId="0" borderId="14" xfId="0" applyFont="1" applyBorder="1"/>
    <xf numFmtId="165" fontId="0" fillId="0" borderId="13" xfId="1" applyNumberFormat="1" applyFont="1" applyBorder="1"/>
    <xf numFmtId="9" fontId="29" fillId="0" borderId="18" xfId="2" applyFont="1" applyFill="1" applyBorder="1" applyAlignment="1">
      <alignment vertical="distributed"/>
    </xf>
    <xf numFmtId="9" fontId="29" fillId="0" borderId="14" xfId="2" applyFont="1" applyFill="1" applyBorder="1" applyAlignment="1">
      <alignment vertical="distributed"/>
    </xf>
    <xf numFmtId="9" fontId="29" fillId="0" borderId="13" xfId="2" applyFont="1" applyFill="1" applyBorder="1" applyAlignment="1">
      <alignment vertical="distributed"/>
    </xf>
    <xf numFmtId="165" fontId="40" fillId="0" borderId="0" xfId="1" applyNumberFormat="1" applyFont="1"/>
    <xf numFmtId="165" fontId="12" fillId="0" borderId="1" xfId="1" applyNumberFormat="1" applyFont="1" applyBorder="1" applyAlignment="1">
      <alignment horizontal="center"/>
    </xf>
    <xf numFmtId="165" fontId="11" fillId="0" borderId="5" xfId="1" applyNumberFormat="1" applyFont="1" applyBorder="1"/>
    <xf numFmtId="165" fontId="15" fillId="0" borderId="1" xfId="1" applyNumberFormat="1" applyFont="1" applyBorder="1"/>
    <xf numFmtId="165" fontId="9" fillId="0" borderId="6" xfId="1" applyNumberFormat="1" applyFont="1" applyBorder="1"/>
    <xf numFmtId="165" fontId="9" fillId="0" borderId="4" xfId="1" applyNumberFormat="1" applyFont="1" applyBorder="1"/>
    <xf numFmtId="165" fontId="12" fillId="0" borderId="1" xfId="1" applyNumberFormat="1" applyFont="1" applyBorder="1"/>
    <xf numFmtId="165" fontId="11" fillId="0" borderId="7" xfId="1" applyNumberFormat="1" applyFont="1" applyBorder="1"/>
    <xf numFmtId="165" fontId="11" fillId="0" borderId="1" xfId="1" applyNumberFormat="1" applyFont="1" applyBorder="1"/>
    <xf numFmtId="165" fontId="41" fillId="0" borderId="3" xfId="1" applyNumberFormat="1" applyFont="1" applyFill="1" applyBorder="1" applyAlignment="1">
      <alignment vertical="top"/>
    </xf>
    <xf numFmtId="165" fontId="9" fillId="0" borderId="3" xfId="1" applyNumberFormat="1" applyFont="1" applyBorder="1"/>
    <xf numFmtId="0" fontId="11" fillId="0" borderId="3" xfId="0" applyFont="1" applyBorder="1"/>
    <xf numFmtId="0" fontId="10" fillId="2" borderId="1" xfId="0" applyFont="1" applyFill="1" applyBorder="1" applyAlignment="1">
      <alignment horizontal="center" vertical="center" wrapText="1"/>
    </xf>
    <xf numFmtId="9" fontId="7" fillId="0" borderId="0" xfId="2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 wrapText="1"/>
    </xf>
    <xf numFmtId="165" fontId="35" fillId="0" borderId="3" xfId="1" applyNumberFormat="1" applyFont="1" applyBorder="1" applyAlignment="1">
      <alignment horizontal="center" vertical="center" wrapText="1"/>
    </xf>
    <xf numFmtId="165" fontId="10" fillId="0" borderId="3" xfId="1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165" fontId="14" fillId="2" borderId="15" xfId="1" applyNumberFormat="1" applyFont="1" applyFill="1" applyBorder="1" applyAlignment="1">
      <alignment horizontal="center" vertical="center" wrapText="1"/>
    </xf>
    <xf numFmtId="165" fontId="14" fillId="2" borderId="17" xfId="1" applyNumberFormat="1" applyFont="1" applyFill="1" applyBorder="1" applyAlignment="1">
      <alignment horizontal="center" vertical="center" wrapText="1"/>
    </xf>
    <xf numFmtId="165" fontId="14" fillId="2" borderId="16" xfId="1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/>
    </xf>
    <xf numFmtId="0" fontId="25" fillId="0" borderId="3" xfId="0" applyFont="1" applyFill="1" applyBorder="1" applyAlignment="1">
      <alignment horizontal="center" vertical="top"/>
    </xf>
    <xf numFmtId="0" fontId="19" fillId="0" borderId="2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165" fontId="19" fillId="0" borderId="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5" fontId="42" fillId="0" borderId="1" xfId="1" applyNumberFormat="1" applyFont="1" applyFill="1" applyBorder="1" applyAlignment="1">
      <alignment vertical="top"/>
    </xf>
    <xf numFmtId="3" fontId="24" fillId="0" borderId="7" xfId="0" applyNumberFormat="1" applyFont="1" applyFill="1" applyBorder="1" applyAlignment="1">
      <alignment vertical="distributed"/>
    </xf>
    <xf numFmtId="165" fontId="42" fillId="0" borderId="3" xfId="1" applyNumberFormat="1" applyFont="1" applyFill="1" applyBorder="1" applyAlignment="1">
      <alignment vertical="top"/>
    </xf>
    <xf numFmtId="165" fontId="28" fillId="0" borderId="3" xfId="1" applyNumberFormat="1" applyFont="1" applyFill="1" applyBorder="1" applyAlignment="1">
      <alignment vertical="top"/>
    </xf>
    <xf numFmtId="165" fontId="43" fillId="0" borderId="3" xfId="1" applyNumberFormat="1" applyFont="1" applyFill="1" applyBorder="1" applyAlignment="1">
      <alignment vertical="top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tabSelected="1" workbookViewId="0">
      <selection activeCell="A6" sqref="A6:F6"/>
    </sheetView>
  </sheetViews>
  <sheetFormatPr defaultRowHeight="15.75"/>
  <cols>
    <col min="1" max="1" width="7.25" customWidth="1"/>
    <col min="2" max="2" width="57.25" customWidth="1"/>
    <col min="3" max="3" width="22.5" style="193" customWidth="1"/>
    <col min="4" max="4" width="22.75" style="193" customWidth="1"/>
    <col min="5" max="5" width="11.625" style="110" customWidth="1"/>
    <col min="6" max="6" width="16.375" style="110" customWidth="1"/>
    <col min="7" max="7" width="21.375" customWidth="1"/>
  </cols>
  <sheetData>
    <row r="1" spans="1:12" ht="16.5" customHeight="1">
      <c r="A1" s="208" t="s">
        <v>28</v>
      </c>
      <c r="B1" s="208"/>
      <c r="C1" s="209" t="s">
        <v>12</v>
      </c>
      <c r="D1" s="209"/>
      <c r="E1" s="209"/>
      <c r="F1" s="209"/>
    </row>
    <row r="2" spans="1:12">
      <c r="A2" s="210" t="s">
        <v>29</v>
      </c>
      <c r="B2" s="210"/>
      <c r="C2" s="209" t="s">
        <v>13</v>
      </c>
      <c r="D2" s="209"/>
      <c r="E2" s="209"/>
      <c r="F2" s="209"/>
    </row>
    <row r="3" spans="1:12" ht="19.5" customHeight="1">
      <c r="A3" s="8"/>
      <c r="B3" s="8"/>
    </row>
    <row r="4" spans="1:12" ht="20.25" customHeight="1"/>
    <row r="5" spans="1:12" ht="21.75" customHeight="1">
      <c r="A5" s="207" t="s">
        <v>14</v>
      </c>
      <c r="B5" s="207"/>
      <c r="C5" s="207"/>
      <c r="D5" s="207"/>
      <c r="E5" s="207"/>
      <c r="F5" s="207"/>
      <c r="G5" s="1"/>
      <c r="H5" s="1"/>
      <c r="I5" s="1"/>
      <c r="J5" s="1"/>
      <c r="K5" s="1"/>
      <c r="L5" s="1"/>
    </row>
    <row r="6" spans="1:12" ht="21" customHeight="1">
      <c r="A6" s="207" t="s">
        <v>175</v>
      </c>
      <c r="B6" s="207"/>
      <c r="C6" s="207"/>
      <c r="D6" s="207"/>
      <c r="E6" s="207"/>
      <c r="F6" s="207"/>
    </row>
    <row r="7" spans="1:12" ht="15" customHeight="1">
      <c r="G7" s="114"/>
    </row>
    <row r="8" spans="1:12">
      <c r="F8" s="149" t="s">
        <v>125</v>
      </c>
    </row>
    <row r="9" spans="1:12" s="2" customFormat="1" ht="22.5" customHeight="1">
      <c r="A9" s="211" t="s">
        <v>0</v>
      </c>
      <c r="B9" s="211" t="s">
        <v>3</v>
      </c>
      <c r="C9" s="213" t="s">
        <v>164</v>
      </c>
      <c r="D9" s="213" t="s">
        <v>176</v>
      </c>
      <c r="E9" s="216" t="s">
        <v>122</v>
      </c>
      <c r="F9" s="217"/>
    </row>
    <row r="10" spans="1:12" s="2" customFormat="1" ht="50.25" customHeight="1">
      <c r="A10" s="212"/>
      <c r="B10" s="212"/>
      <c r="C10" s="214"/>
      <c r="D10" s="215"/>
      <c r="E10" s="140" t="s">
        <v>123</v>
      </c>
      <c r="F10" s="205" t="s">
        <v>124</v>
      </c>
    </row>
    <row r="11" spans="1:12" s="2" customFormat="1" ht="23.25" customHeight="1">
      <c r="A11" s="116" t="s">
        <v>1</v>
      </c>
      <c r="B11" s="116" t="s">
        <v>2</v>
      </c>
      <c r="C11" s="9">
        <v>1</v>
      </c>
      <c r="D11" s="9">
        <v>2</v>
      </c>
      <c r="E11" s="14" t="s">
        <v>4</v>
      </c>
      <c r="F11" s="14">
        <v>4</v>
      </c>
    </row>
    <row r="12" spans="1:12" s="2" customFormat="1" ht="23.25">
      <c r="A12" s="117" t="s">
        <v>1</v>
      </c>
      <c r="B12" s="118" t="s">
        <v>42</v>
      </c>
      <c r="C12" s="194">
        <f>C13+C18+C19</f>
        <v>3161055000000</v>
      </c>
      <c r="D12" s="194">
        <f>D13+D18+D19</f>
        <v>988229233433</v>
      </c>
      <c r="E12" s="141">
        <f>D12/C12*100%</f>
        <v>0.31262639638759843</v>
      </c>
      <c r="F12" s="141">
        <f>D12/826302058887</f>
        <v>1.1959660789955071</v>
      </c>
      <c r="H12" s="6"/>
    </row>
    <row r="13" spans="1:12" s="2" customFormat="1" ht="18.75">
      <c r="A13" s="119" t="s">
        <v>5</v>
      </c>
      <c r="B13" s="120" t="s">
        <v>34</v>
      </c>
      <c r="C13" s="195">
        <f>SUM(C15:C16)</f>
        <v>1864000000000</v>
      </c>
      <c r="D13" s="195">
        <f>SUM(D15:D16)</f>
        <v>543151233433</v>
      </c>
      <c r="E13" s="10">
        <f t="shared" ref="E13:E37" si="0">D13/C13*100%</f>
        <v>0.29139014669152363</v>
      </c>
      <c r="F13" s="10">
        <f>D13/532987058887</f>
        <v>1.0190702088850434</v>
      </c>
    </row>
    <row r="14" spans="1:12" s="2" customFormat="1" ht="18.75">
      <c r="A14" s="121"/>
      <c r="B14" s="122" t="s">
        <v>48</v>
      </c>
      <c r="C14" s="196">
        <f>C15-270000000000</f>
        <v>1594000000000</v>
      </c>
      <c r="D14" s="196">
        <f>D15-90697904635</f>
        <v>452453328798</v>
      </c>
      <c r="E14" s="10">
        <f t="shared" si="0"/>
        <v>0.28384775959723962</v>
      </c>
      <c r="F14" s="10">
        <f>D14/442289154252</f>
        <v>1.0229808360623034</v>
      </c>
      <c r="G14" s="115"/>
    </row>
    <row r="15" spans="1:12" s="2" customFormat="1" ht="18.75">
      <c r="A15" s="123">
        <v>1</v>
      </c>
      <c r="B15" s="124" t="s">
        <v>35</v>
      </c>
      <c r="C15" s="197">
        <v>1864000000000</v>
      </c>
      <c r="D15" s="196">
        <v>543151233433</v>
      </c>
      <c r="E15" s="10">
        <f t="shared" si="0"/>
        <v>0.29139014669152363</v>
      </c>
      <c r="F15" s="142">
        <f>D15/532987058887</f>
        <v>1.0190702088850434</v>
      </c>
      <c r="G15" s="206"/>
    </row>
    <row r="16" spans="1:12" s="2" customFormat="1" ht="18.75">
      <c r="A16" s="125">
        <v>2</v>
      </c>
      <c r="B16" s="126" t="s">
        <v>17</v>
      </c>
      <c r="C16" s="11">
        <v>0</v>
      </c>
      <c r="D16" s="198"/>
      <c r="E16" s="10"/>
      <c r="F16" s="10"/>
    </row>
    <row r="17" spans="1:7" s="2" customFormat="1" ht="18.75">
      <c r="A17" s="127">
        <v>3</v>
      </c>
      <c r="B17" s="126" t="s">
        <v>27</v>
      </c>
      <c r="C17" s="11">
        <v>0</v>
      </c>
      <c r="D17" s="11"/>
      <c r="E17" s="10"/>
      <c r="F17" s="10"/>
      <c r="G17" s="115"/>
    </row>
    <row r="18" spans="1:7" s="2" customFormat="1" ht="18.75">
      <c r="A18" s="127">
        <v>4</v>
      </c>
      <c r="B18" s="126" t="s">
        <v>22</v>
      </c>
      <c r="C18" s="11">
        <v>1139042000000</v>
      </c>
      <c r="D18" s="11">
        <v>445078000000</v>
      </c>
      <c r="E18" s="10">
        <f t="shared" si="0"/>
        <v>0.39074766338730266</v>
      </c>
      <c r="F18" s="10">
        <f>D18/293315000000</f>
        <v>1.5174062015239589</v>
      </c>
      <c r="G18" s="115"/>
    </row>
    <row r="19" spans="1:7" s="2" customFormat="1" ht="18.75">
      <c r="A19" s="127">
        <v>5</v>
      </c>
      <c r="B19" s="126" t="s">
        <v>37</v>
      </c>
      <c r="C19" s="11">
        <v>158013000000</v>
      </c>
      <c r="D19" s="11">
        <v>0</v>
      </c>
      <c r="E19" s="10"/>
      <c r="F19" s="10"/>
      <c r="G19" s="206"/>
    </row>
    <row r="20" spans="1:7" s="2" customFormat="1" ht="18.75">
      <c r="A20" s="128" t="s">
        <v>8</v>
      </c>
      <c r="B20" s="120" t="s">
        <v>39</v>
      </c>
      <c r="C20" s="11"/>
      <c r="D20" s="11"/>
      <c r="E20" s="10"/>
      <c r="F20" s="10"/>
    </row>
    <row r="21" spans="1:7" s="2" customFormat="1" ht="23.25">
      <c r="A21" s="117" t="s">
        <v>2</v>
      </c>
      <c r="B21" s="118" t="s">
        <v>40</v>
      </c>
      <c r="C21" s="199">
        <f>C22+C38</f>
        <v>3150055000000</v>
      </c>
      <c r="D21" s="199">
        <f>D22+D38+D39</f>
        <v>489450315381</v>
      </c>
      <c r="E21" s="143">
        <f t="shared" si="0"/>
        <v>0.15537833954676983</v>
      </c>
      <c r="F21" s="144">
        <f>D21/513744724717</f>
        <v>0.95271112642687916</v>
      </c>
      <c r="G21" s="15"/>
    </row>
    <row r="22" spans="1:7" s="2" customFormat="1" ht="18.75">
      <c r="A22" s="129" t="s">
        <v>5</v>
      </c>
      <c r="B22" s="130" t="s">
        <v>18</v>
      </c>
      <c r="C22" s="200">
        <f>C23+C30+C33+C36</f>
        <v>3150055000000</v>
      </c>
      <c r="D22" s="200">
        <f>D23+D30+D37</f>
        <v>475557647900</v>
      </c>
      <c r="E22" s="145">
        <f t="shared" si="0"/>
        <v>0.15096804592300769</v>
      </c>
      <c r="F22" s="142">
        <f>D22/431914168727</f>
        <v>1.1010466484617358</v>
      </c>
    </row>
    <row r="23" spans="1:7" s="2" customFormat="1" ht="18.75">
      <c r="A23" s="117">
        <v>1</v>
      </c>
      <c r="B23" s="118" t="s">
        <v>6</v>
      </c>
      <c r="C23" s="201">
        <f>SUM(C25:C28)</f>
        <v>600867000000</v>
      </c>
      <c r="D23" s="201">
        <f>D24+D29</f>
        <v>22586000000</v>
      </c>
      <c r="E23" s="13">
        <v>0.02</v>
      </c>
      <c r="F23" s="13">
        <f>D23/38151235800</f>
        <v>0.59201227762063735</v>
      </c>
      <c r="G23" s="15"/>
    </row>
    <row r="24" spans="1:7" s="2" customFormat="1" ht="21" customHeight="1">
      <c r="A24" s="117" t="s">
        <v>15</v>
      </c>
      <c r="B24" s="118" t="s">
        <v>44</v>
      </c>
      <c r="C24" s="201">
        <f>SUM(C25:C27)</f>
        <v>600867000000</v>
      </c>
      <c r="D24" s="201">
        <f>SUM(D25:D27)</f>
        <v>22586000000</v>
      </c>
      <c r="E24" s="13">
        <v>0.02</v>
      </c>
      <c r="F24" s="13">
        <v>0.59</v>
      </c>
    </row>
    <row r="25" spans="1:7" s="2" customFormat="1" ht="18.75">
      <c r="A25" s="123" t="s">
        <v>43</v>
      </c>
      <c r="B25" s="124" t="s">
        <v>30</v>
      </c>
      <c r="C25" s="202">
        <v>239257000000</v>
      </c>
      <c r="D25" s="197">
        <v>5025000000</v>
      </c>
      <c r="E25" s="146">
        <f t="shared" si="0"/>
        <v>2.1002520302436292E-2</v>
      </c>
      <c r="F25" s="146">
        <f>D25/23462000000</f>
        <v>0.21417611456823801</v>
      </c>
    </row>
    <row r="26" spans="1:7" s="2" customFormat="1" ht="18.75">
      <c r="A26" s="125" t="s">
        <v>43</v>
      </c>
      <c r="B26" s="131" t="s">
        <v>31</v>
      </c>
      <c r="C26" s="202">
        <v>270000000000</v>
      </c>
      <c r="D26" s="197">
        <v>8683000000</v>
      </c>
      <c r="E26" s="147">
        <f t="shared" si="0"/>
        <v>3.2159259259259262E-2</v>
      </c>
      <c r="F26" s="147">
        <f>D26/10561000000</f>
        <v>0.82217593030962977</v>
      </c>
      <c r="G26" s="115"/>
    </row>
    <row r="27" spans="1:7" s="2" customFormat="1" ht="18.75">
      <c r="A27" s="125" t="s">
        <v>43</v>
      </c>
      <c r="B27" s="131" t="s">
        <v>32</v>
      </c>
      <c r="C27" s="202">
        <v>91610000000</v>
      </c>
      <c r="D27" s="197">
        <v>8878000000</v>
      </c>
      <c r="E27" s="147">
        <f t="shared" si="0"/>
        <v>9.6910817596332272E-2</v>
      </c>
      <c r="F27" s="147">
        <f>D27/3495000000</f>
        <v>2.5402002861230328</v>
      </c>
      <c r="G27" s="15"/>
    </row>
    <row r="28" spans="1:7" s="2" customFormat="1" ht="18.75">
      <c r="A28" s="132" t="s">
        <v>43</v>
      </c>
      <c r="B28" s="126" t="s">
        <v>38</v>
      </c>
      <c r="C28" s="202">
        <v>0</v>
      </c>
      <c r="D28" s="11">
        <v>0</v>
      </c>
      <c r="E28" s="10"/>
      <c r="F28" s="10"/>
      <c r="G28" s="15"/>
    </row>
    <row r="29" spans="1:7" s="2" customFormat="1" ht="21" customHeight="1">
      <c r="A29" s="117" t="s">
        <v>16</v>
      </c>
      <c r="B29" s="118" t="s">
        <v>45</v>
      </c>
      <c r="C29" s="12">
        <v>0</v>
      </c>
      <c r="D29" s="201">
        <v>0</v>
      </c>
      <c r="E29" s="13"/>
      <c r="F29" s="13"/>
    </row>
    <row r="30" spans="1:7" s="2" customFormat="1" ht="18.75">
      <c r="A30" s="117">
        <v>2</v>
      </c>
      <c r="B30" s="118" t="s">
        <v>19</v>
      </c>
      <c r="C30" s="201">
        <f>C31+C32</f>
        <v>2485888000000</v>
      </c>
      <c r="D30" s="201">
        <f>D31+D32</f>
        <v>442971647900</v>
      </c>
      <c r="E30" s="144">
        <f t="shared" si="0"/>
        <v>0.17819453165227073</v>
      </c>
      <c r="F30" s="144">
        <f>D30/383762932927</f>
        <v>1.1542846113912277</v>
      </c>
    </row>
    <row r="31" spans="1:7" s="2" customFormat="1" ht="18.75">
      <c r="A31" s="133"/>
      <c r="B31" s="124" t="s">
        <v>20</v>
      </c>
      <c r="C31" s="197">
        <v>2176115000000</v>
      </c>
      <c r="D31" s="197">
        <v>370794543129</v>
      </c>
      <c r="E31" s="146">
        <f t="shared" si="0"/>
        <v>0.17039289887207248</v>
      </c>
      <c r="F31" s="146">
        <f>D31/332560575210</f>
        <v>1.1149684321265581</v>
      </c>
    </row>
    <row r="32" spans="1:7" s="2" customFormat="1" ht="18.75">
      <c r="A32" s="128"/>
      <c r="B32" s="126" t="s">
        <v>26</v>
      </c>
      <c r="C32" s="11">
        <v>309773000000</v>
      </c>
      <c r="D32" s="197">
        <v>72177104771</v>
      </c>
      <c r="E32" s="10">
        <f t="shared" si="0"/>
        <v>0.23299998634806779</v>
      </c>
      <c r="F32" s="10">
        <f>D32/51202357717</f>
        <v>1.4096441646286935</v>
      </c>
    </row>
    <row r="33" spans="1:6" s="2" customFormat="1" ht="18.75">
      <c r="A33" s="117">
        <v>3</v>
      </c>
      <c r="B33" s="118" t="s">
        <v>7</v>
      </c>
      <c r="C33" s="201">
        <f>C34+C35</f>
        <v>63300000000</v>
      </c>
      <c r="D33" s="12">
        <v>0</v>
      </c>
      <c r="E33" s="12"/>
      <c r="F33" s="13"/>
    </row>
    <row r="34" spans="1:6" s="2" customFormat="1" ht="18.75">
      <c r="A34" s="133"/>
      <c r="B34" s="134" t="s">
        <v>20</v>
      </c>
      <c r="C34" s="197">
        <v>57105000000</v>
      </c>
      <c r="D34" s="197"/>
      <c r="E34" s="10"/>
      <c r="F34" s="146"/>
    </row>
    <row r="35" spans="1:6" s="2" customFormat="1" ht="18.75">
      <c r="A35" s="128"/>
      <c r="B35" s="126" t="s">
        <v>26</v>
      </c>
      <c r="C35" s="11">
        <v>6195000000</v>
      </c>
      <c r="D35" s="11"/>
      <c r="E35" s="10"/>
      <c r="F35" s="10"/>
    </row>
    <row r="36" spans="1:6" s="2" customFormat="1" ht="18.75">
      <c r="A36" s="117">
        <v>4</v>
      </c>
      <c r="B36" s="118" t="s">
        <v>33</v>
      </c>
      <c r="C36" s="201">
        <v>0</v>
      </c>
      <c r="D36" s="12"/>
      <c r="E36" s="13"/>
      <c r="F36" s="13"/>
    </row>
    <row r="37" spans="1:6" s="2" customFormat="1" ht="18.75">
      <c r="A37" s="117">
        <v>5</v>
      </c>
      <c r="B37" s="118" t="s">
        <v>47</v>
      </c>
      <c r="C37" s="201">
        <v>11000000000</v>
      </c>
      <c r="D37" s="12">
        <v>10000000000</v>
      </c>
      <c r="E37" s="10">
        <f t="shared" si="0"/>
        <v>0.90909090909090906</v>
      </c>
      <c r="F37" s="13">
        <v>1</v>
      </c>
    </row>
    <row r="38" spans="1:6" s="2" customFormat="1" ht="18.75">
      <c r="A38" s="3" t="s">
        <v>8</v>
      </c>
      <c r="B38" s="118" t="s">
        <v>50</v>
      </c>
      <c r="C38" s="201">
        <v>0</v>
      </c>
      <c r="D38" s="12">
        <v>13869000000</v>
      </c>
      <c r="E38" s="148"/>
      <c r="F38" s="13">
        <f>D38/15291000000</f>
        <v>0.9070041200706298</v>
      </c>
    </row>
    <row r="39" spans="1:6" s="2" customFormat="1" ht="18.75">
      <c r="A39" s="3" t="s">
        <v>9</v>
      </c>
      <c r="B39" s="204" t="s">
        <v>49</v>
      </c>
      <c r="C39" s="203"/>
      <c r="D39" s="12">
        <v>23667481</v>
      </c>
      <c r="E39" s="4"/>
      <c r="F39" s="13"/>
    </row>
    <row r="40" spans="1:6" ht="18.75" hidden="1" customHeight="1">
      <c r="A40" s="3" t="s">
        <v>11</v>
      </c>
      <c r="B40" s="7" t="s">
        <v>41</v>
      </c>
      <c r="C40" s="203"/>
      <c r="D40" s="12">
        <v>0</v>
      </c>
      <c r="E40" s="4"/>
      <c r="F40" s="13"/>
    </row>
  </sheetData>
  <mergeCells count="11">
    <mergeCell ref="A9:A10"/>
    <mergeCell ref="B9:B10"/>
    <mergeCell ref="C9:C10"/>
    <mergeCell ref="D9:D10"/>
    <mergeCell ref="E9:F9"/>
    <mergeCell ref="A6:F6"/>
    <mergeCell ref="A1:B1"/>
    <mergeCell ref="C1:F1"/>
    <mergeCell ref="A2:B2"/>
    <mergeCell ref="C2:F2"/>
    <mergeCell ref="A5:F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97"/>
  <sheetViews>
    <sheetView topLeftCell="B1" workbookViewId="0">
      <selection activeCell="K33" sqref="K33"/>
    </sheetView>
  </sheetViews>
  <sheetFormatPr defaultRowHeight="15.75"/>
  <cols>
    <col min="1" max="1" width="5.875" style="16" customWidth="1"/>
    <col min="2" max="2" width="41.125" style="16" customWidth="1"/>
    <col min="3" max="3" width="17.5" style="17" customWidth="1"/>
    <col min="4" max="4" width="21.75" style="17" customWidth="1"/>
    <col min="5" max="5" width="20.75" style="17" customWidth="1"/>
    <col min="6" max="7" width="20.375" style="17" customWidth="1"/>
    <col min="8" max="8" width="20.375" style="17" hidden="1" customWidth="1"/>
    <col min="9" max="9" width="8.125" style="16" customWidth="1"/>
    <col min="10" max="10" width="7.5" style="16" customWidth="1"/>
    <col min="11" max="11" width="7" style="16" customWidth="1"/>
    <col min="12" max="12" width="20" style="16" customWidth="1"/>
    <col min="13" max="13" width="16.625" style="16" customWidth="1"/>
    <col min="14" max="16384" width="9" style="16"/>
  </cols>
  <sheetData>
    <row r="1" spans="1:13">
      <c r="A1" s="218" t="s">
        <v>28</v>
      </c>
      <c r="B1" s="218"/>
      <c r="C1" s="220" t="s">
        <v>12</v>
      </c>
      <c r="D1" s="220"/>
      <c r="E1" s="220"/>
      <c r="F1" s="220"/>
      <c r="G1" s="220"/>
      <c r="H1" s="220"/>
      <c r="I1" s="220"/>
    </row>
    <row r="2" spans="1:13">
      <c r="A2" s="219" t="s">
        <v>29</v>
      </c>
      <c r="B2" s="219"/>
      <c r="C2" s="220" t="s">
        <v>51</v>
      </c>
      <c r="D2" s="220"/>
      <c r="E2" s="220"/>
      <c r="F2" s="220"/>
      <c r="G2" s="220"/>
      <c r="H2" s="220"/>
      <c r="I2" s="220"/>
    </row>
    <row r="3" spans="1:13">
      <c r="A3" s="219"/>
      <c r="B3" s="219"/>
    </row>
    <row r="4" spans="1:13" ht="27" customHeight="1">
      <c r="A4" s="155"/>
      <c r="B4" s="220" t="s">
        <v>163</v>
      </c>
      <c r="C4" s="220"/>
      <c r="D4" s="220"/>
      <c r="E4" s="220"/>
      <c r="F4" s="220"/>
      <c r="G4" s="220"/>
      <c r="H4" s="220"/>
      <c r="I4" s="220"/>
      <c r="J4" s="220"/>
      <c r="K4" s="220"/>
    </row>
    <row r="5" spans="1:13">
      <c r="E5" s="150"/>
      <c r="I5" s="151"/>
    </row>
    <row r="6" spans="1:13" ht="48" customHeight="1">
      <c r="A6" s="222" t="s">
        <v>0</v>
      </c>
      <c r="B6" s="222" t="s">
        <v>3</v>
      </c>
      <c r="C6" s="223" t="s">
        <v>164</v>
      </c>
      <c r="D6" s="223"/>
      <c r="E6" s="224" t="s">
        <v>165</v>
      </c>
      <c r="F6" s="225"/>
      <c r="G6" s="226"/>
      <c r="H6" s="152"/>
      <c r="I6" s="227" t="s">
        <v>126</v>
      </c>
      <c r="J6" s="228"/>
      <c r="K6" s="229"/>
    </row>
    <row r="7" spans="1:13" ht="126" customHeight="1">
      <c r="A7" s="222"/>
      <c r="B7" s="222"/>
      <c r="C7" s="137" t="s">
        <v>52</v>
      </c>
      <c r="D7" s="137" t="s">
        <v>53</v>
      </c>
      <c r="E7" s="137" t="s">
        <v>166</v>
      </c>
      <c r="F7" s="137" t="s">
        <v>167</v>
      </c>
      <c r="G7" s="137" t="s">
        <v>168</v>
      </c>
      <c r="H7" s="137" t="s">
        <v>153</v>
      </c>
      <c r="I7" s="136" t="s">
        <v>127</v>
      </c>
      <c r="J7" s="136" t="s">
        <v>128</v>
      </c>
      <c r="K7" s="136" t="s">
        <v>129</v>
      </c>
    </row>
    <row r="8" spans="1:13">
      <c r="A8" s="18" t="s">
        <v>1</v>
      </c>
      <c r="B8" s="18" t="s">
        <v>2</v>
      </c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/>
      <c r="I8" s="18" t="s">
        <v>130</v>
      </c>
      <c r="J8" s="18" t="s">
        <v>131</v>
      </c>
      <c r="K8" s="18">
        <v>8</v>
      </c>
    </row>
    <row r="9" spans="1:13" ht="48" customHeight="1">
      <c r="A9" s="136"/>
      <c r="B9" s="136" t="s">
        <v>132</v>
      </c>
      <c r="C9" s="138">
        <f>C11+C37+C38+C44+C45+C46+C47</f>
        <v>4263042000000</v>
      </c>
      <c r="D9" s="138">
        <f t="shared" ref="D9:H9" si="0">D11+D37+D38+D44+D45+D46+D47</f>
        <v>3161055000000</v>
      </c>
      <c r="E9" s="138">
        <f t="shared" si="0"/>
        <v>465440186894</v>
      </c>
      <c r="F9" s="138">
        <f t="shared" si="0"/>
        <v>1329459703453</v>
      </c>
      <c r="G9" s="138">
        <f t="shared" si="0"/>
        <v>988229233433</v>
      </c>
      <c r="H9" s="138">
        <f t="shared" si="0"/>
        <v>1433627337569</v>
      </c>
      <c r="I9" s="20">
        <f t="shared" ref="I9:J15" si="1">(F9/C9)*100%</f>
        <v>0.31185705030656513</v>
      </c>
      <c r="J9" s="20">
        <f t="shared" si="1"/>
        <v>0.31262639638759843</v>
      </c>
      <c r="K9" s="20">
        <v>1.1599999999999999</v>
      </c>
    </row>
    <row r="10" spans="1:13" ht="48" customHeight="1">
      <c r="A10" s="136"/>
      <c r="B10" s="136" t="s">
        <v>133</v>
      </c>
      <c r="C10" s="138">
        <f>C11+C37+C38</f>
        <v>4263042000000</v>
      </c>
      <c r="D10" s="138">
        <f t="shared" ref="D10:H10" si="2">D11+D37+D38</f>
        <v>3003042000000</v>
      </c>
      <c r="E10" s="138">
        <f t="shared" si="2"/>
        <v>465440186894</v>
      </c>
      <c r="F10" s="138">
        <f t="shared" si="2"/>
        <v>1329459703453</v>
      </c>
      <c r="G10" s="138">
        <f t="shared" si="2"/>
        <v>988229233433</v>
      </c>
      <c r="H10" s="138">
        <f t="shared" si="2"/>
        <v>1433627337569</v>
      </c>
      <c r="I10" s="20">
        <f t="shared" si="1"/>
        <v>0.31185705030656513</v>
      </c>
      <c r="J10" s="20">
        <f t="shared" si="1"/>
        <v>0.32907606135145628</v>
      </c>
      <c r="K10" s="20">
        <v>1.1599999999999999</v>
      </c>
    </row>
    <row r="11" spans="1:13" ht="27.75" customHeight="1">
      <c r="A11" s="136" t="s">
        <v>5</v>
      </c>
      <c r="B11" s="21" t="s">
        <v>134</v>
      </c>
      <c r="C11" s="137">
        <f t="shared" ref="C11:H11" si="3">C12+C18+C20+C22+C23+C24+C26+C28+C32+C34+C29+C31+C36</f>
        <v>3124000000000</v>
      </c>
      <c r="D11" s="137">
        <f t="shared" si="3"/>
        <v>1864000000000</v>
      </c>
      <c r="E11" s="137">
        <f t="shared" si="3"/>
        <v>290868186894</v>
      </c>
      <c r="F11" s="137">
        <f t="shared" si="3"/>
        <v>884381703453</v>
      </c>
      <c r="G11" s="137">
        <f t="shared" si="3"/>
        <v>543151233433</v>
      </c>
      <c r="H11" s="137">
        <f t="shared" si="3"/>
        <v>1126978337569</v>
      </c>
      <c r="I11" s="20">
        <f t="shared" si="1"/>
        <v>0.28309273478008962</v>
      </c>
      <c r="J11" s="20">
        <f t="shared" si="1"/>
        <v>0.29139014669152363</v>
      </c>
      <c r="K11" s="20">
        <v>1.03</v>
      </c>
    </row>
    <row r="12" spans="1:13">
      <c r="A12" s="136">
        <v>1</v>
      </c>
      <c r="B12" s="21" t="s">
        <v>54</v>
      </c>
      <c r="C12" s="137">
        <f>SUM(C13:C17)</f>
        <v>1700000000000</v>
      </c>
      <c r="D12" s="137">
        <f t="shared" ref="D12:H12" si="4">SUM(D13:D17)</f>
        <v>860000000000</v>
      </c>
      <c r="E12" s="137">
        <f t="shared" si="4"/>
        <v>153619729203</v>
      </c>
      <c r="F12" s="137">
        <f t="shared" si="4"/>
        <v>468906213933</v>
      </c>
      <c r="G12" s="137">
        <f t="shared" si="4"/>
        <v>237138340947</v>
      </c>
      <c r="H12" s="137">
        <f t="shared" si="4"/>
        <v>375591180153</v>
      </c>
      <c r="I12" s="20">
        <f t="shared" si="1"/>
        <v>0.2758271846664706</v>
      </c>
      <c r="J12" s="20">
        <f t="shared" si="1"/>
        <v>0.27574225691511628</v>
      </c>
      <c r="K12" s="20">
        <v>1.22</v>
      </c>
    </row>
    <row r="13" spans="1:13">
      <c r="A13" s="18"/>
      <c r="B13" s="25" t="s">
        <v>135</v>
      </c>
      <c r="C13" s="19">
        <v>1292800000000</v>
      </c>
      <c r="D13" s="19">
        <f>C13*50%</f>
        <v>646400000000</v>
      </c>
      <c r="E13" s="19">
        <v>107300111839</v>
      </c>
      <c r="F13" s="19">
        <v>367431764194</v>
      </c>
      <c r="G13" s="19">
        <v>183715884122</v>
      </c>
      <c r="H13" s="19">
        <v>294011196983</v>
      </c>
      <c r="I13" s="20">
        <f t="shared" si="1"/>
        <v>0.284213926511448</v>
      </c>
      <c r="J13" s="20">
        <f t="shared" si="1"/>
        <v>0.28421392964418318</v>
      </c>
      <c r="K13" s="20">
        <v>1.28</v>
      </c>
      <c r="L13" s="153"/>
      <c r="M13" s="23"/>
    </row>
    <row r="14" spans="1:13">
      <c r="A14" s="18"/>
      <c r="B14" s="25" t="s">
        <v>136</v>
      </c>
      <c r="C14" s="19">
        <v>385000000000</v>
      </c>
      <c r="D14" s="19">
        <f t="shared" ref="D14:D15" si="5">C14*50%</f>
        <v>192500000000</v>
      </c>
      <c r="E14" s="19">
        <v>45439808779</v>
      </c>
      <c r="F14" s="19">
        <v>95324173603</v>
      </c>
      <c r="G14" s="19">
        <v>47662087707</v>
      </c>
      <c r="H14" s="19">
        <v>74548843985</v>
      </c>
      <c r="I14" s="20">
        <f t="shared" si="1"/>
        <v>0.24759525611168831</v>
      </c>
      <c r="J14" s="20">
        <f t="shared" si="1"/>
        <v>0.24759526081558442</v>
      </c>
      <c r="K14" s="20">
        <v>1.03</v>
      </c>
      <c r="L14" s="153"/>
      <c r="M14" s="23"/>
    </row>
    <row r="15" spans="1:13">
      <c r="A15" s="18"/>
      <c r="B15" s="25" t="s">
        <v>137</v>
      </c>
      <c r="C15" s="19">
        <v>2200000000</v>
      </c>
      <c r="D15" s="19">
        <f t="shared" si="5"/>
        <v>1100000000</v>
      </c>
      <c r="E15" s="19">
        <v>284177277</v>
      </c>
      <c r="F15" s="19">
        <v>768528099</v>
      </c>
      <c r="G15" s="19">
        <v>378621081</v>
      </c>
      <c r="H15" s="19">
        <v>200213542</v>
      </c>
      <c r="I15" s="20">
        <f t="shared" si="1"/>
        <v>0.34933095409090908</v>
      </c>
      <c r="J15" s="20">
        <f t="shared" si="1"/>
        <v>0.34420098272727273</v>
      </c>
      <c r="K15" s="20">
        <v>1.58</v>
      </c>
      <c r="L15" s="153"/>
      <c r="M15" s="23"/>
    </row>
    <row r="16" spans="1:13" ht="31.5">
      <c r="A16" s="18"/>
      <c r="B16" s="24" t="s">
        <v>55</v>
      </c>
      <c r="C16" s="19"/>
      <c r="D16" s="19"/>
      <c r="E16" s="19"/>
      <c r="F16" s="19"/>
      <c r="G16" s="19"/>
      <c r="H16" s="19"/>
      <c r="I16" s="20"/>
      <c r="J16" s="20"/>
      <c r="K16" s="20"/>
      <c r="L16" s="153"/>
      <c r="M16" s="23"/>
    </row>
    <row r="17" spans="1:13">
      <c r="A17" s="18"/>
      <c r="B17" s="22" t="s">
        <v>56</v>
      </c>
      <c r="C17" s="19">
        <v>20000000000</v>
      </c>
      <c r="D17" s="19">
        <f>C17</f>
        <v>20000000000</v>
      </c>
      <c r="E17" s="19">
        <v>595631308</v>
      </c>
      <c r="F17" s="19">
        <v>5381748037</v>
      </c>
      <c r="G17" s="19">
        <v>5381748037</v>
      </c>
      <c r="H17" s="19">
        <v>6830925643</v>
      </c>
      <c r="I17" s="20">
        <f>(F17/C17)*100%</f>
        <v>0.26908740185000002</v>
      </c>
      <c r="J17" s="20">
        <f>(G17/D17)*100%</f>
        <v>0.26908740185000002</v>
      </c>
      <c r="K17" s="20">
        <v>1.2</v>
      </c>
      <c r="L17" s="153"/>
      <c r="M17" s="23"/>
    </row>
    <row r="18" spans="1:13" ht="20.25" customHeight="1">
      <c r="A18" s="136">
        <v>2</v>
      </c>
      <c r="B18" s="21" t="s">
        <v>138</v>
      </c>
      <c r="C18" s="137">
        <v>350000000000</v>
      </c>
      <c r="D18" s="137">
        <f>C18</f>
        <v>350000000000</v>
      </c>
      <c r="E18" s="137">
        <v>25033083629</v>
      </c>
      <c r="F18" s="137">
        <v>68043804943</v>
      </c>
      <c r="G18" s="137">
        <f>F18</f>
        <v>68043804943</v>
      </c>
      <c r="H18" s="137">
        <v>172105484613</v>
      </c>
      <c r="I18" s="20">
        <f>(F18/C18)*100%</f>
        <v>0.1944108712657143</v>
      </c>
      <c r="J18" s="20">
        <f>(G18/D18)*100%</f>
        <v>0.1944108712657143</v>
      </c>
      <c r="K18" s="20">
        <v>0.8</v>
      </c>
      <c r="L18" s="153"/>
      <c r="M18" s="23"/>
    </row>
    <row r="19" spans="1:13" ht="21" customHeight="1">
      <c r="A19" s="136">
        <v>3</v>
      </c>
      <c r="B19" s="21" t="s">
        <v>57</v>
      </c>
      <c r="C19" s="137">
        <v>0</v>
      </c>
      <c r="D19" s="19"/>
      <c r="E19" s="19"/>
      <c r="F19" s="19"/>
      <c r="G19" s="19"/>
      <c r="H19" s="19"/>
      <c r="I19" s="20"/>
      <c r="J19" s="20"/>
      <c r="K19" s="20"/>
      <c r="L19" s="153"/>
      <c r="M19" s="23"/>
    </row>
    <row r="20" spans="1:13" ht="44.25" customHeight="1">
      <c r="A20" s="136">
        <v>4</v>
      </c>
      <c r="B20" s="21" t="s">
        <v>139</v>
      </c>
      <c r="C20" s="137">
        <v>59000000000</v>
      </c>
      <c r="D20" s="19">
        <f>C20</f>
        <v>59000000000</v>
      </c>
      <c r="E20" s="19">
        <v>32686870076</v>
      </c>
      <c r="F20" s="19">
        <v>51851476413</v>
      </c>
      <c r="G20" s="19">
        <v>51851476413</v>
      </c>
      <c r="H20" s="19">
        <v>33522655925</v>
      </c>
      <c r="I20" s="20">
        <f>(F20/C20)*100%</f>
        <v>0.87883858327118647</v>
      </c>
      <c r="J20" s="20">
        <f>(G20/D20)*100%</f>
        <v>0.87883858327118647</v>
      </c>
      <c r="K20" s="20">
        <v>1.02</v>
      </c>
      <c r="L20" s="153"/>
      <c r="M20" s="23"/>
    </row>
    <row r="21" spans="1:13" ht="20.25" customHeight="1">
      <c r="A21" s="136">
        <v>5</v>
      </c>
      <c r="B21" s="21" t="s">
        <v>58</v>
      </c>
      <c r="C21" s="137">
        <v>0</v>
      </c>
      <c r="D21" s="19"/>
      <c r="E21" s="19"/>
      <c r="F21" s="19"/>
      <c r="G21" s="19"/>
      <c r="H21" s="19"/>
      <c r="I21" s="20"/>
      <c r="J21" s="20"/>
      <c r="K21" s="20"/>
      <c r="L21" s="153"/>
      <c r="M21" s="23"/>
    </row>
    <row r="22" spans="1:13" ht="21" customHeight="1">
      <c r="A22" s="136">
        <v>6</v>
      </c>
      <c r="B22" s="21" t="s">
        <v>140</v>
      </c>
      <c r="C22" s="137">
        <v>380000000000</v>
      </c>
      <c r="D22" s="137">
        <f>C22*50%</f>
        <v>190000000000</v>
      </c>
      <c r="E22" s="137">
        <v>32006549948</v>
      </c>
      <c r="F22" s="137">
        <v>110570315989</v>
      </c>
      <c r="G22" s="137">
        <v>55285158946</v>
      </c>
      <c r="H22" s="137">
        <v>147369140886</v>
      </c>
      <c r="I22" s="20">
        <f t="shared" ref="I22:J28" si="6">(F22/C22)*100%</f>
        <v>0.2909745157605263</v>
      </c>
      <c r="J22" s="20">
        <f t="shared" si="6"/>
        <v>0.29097452076842106</v>
      </c>
      <c r="K22" s="20">
        <v>1.05</v>
      </c>
      <c r="L22" s="153"/>
      <c r="M22" s="23"/>
    </row>
    <row r="23" spans="1:13" ht="21" customHeight="1">
      <c r="A23" s="136">
        <v>7</v>
      </c>
      <c r="B23" s="21" t="s">
        <v>141</v>
      </c>
      <c r="C23" s="137">
        <v>10000000000</v>
      </c>
      <c r="D23" s="137">
        <f>C23*50%</f>
        <v>5000000000</v>
      </c>
      <c r="E23" s="137">
        <v>1151932819</v>
      </c>
      <c r="F23" s="137">
        <v>3865237984</v>
      </c>
      <c r="G23" s="137">
        <v>1159578597</v>
      </c>
      <c r="H23" s="137">
        <v>4261073890</v>
      </c>
      <c r="I23" s="20">
        <f t="shared" si="6"/>
        <v>0.38652379840000001</v>
      </c>
      <c r="J23" s="20">
        <f t="shared" si="6"/>
        <v>0.2319157194</v>
      </c>
      <c r="K23" s="20">
        <v>1.5</v>
      </c>
      <c r="L23" s="153"/>
      <c r="M23" s="23"/>
    </row>
    <row r="24" spans="1:13" ht="19.5" customHeight="1">
      <c r="A24" s="136">
        <v>8</v>
      </c>
      <c r="B24" s="21" t="s">
        <v>59</v>
      </c>
      <c r="C24" s="137">
        <v>75000000000</v>
      </c>
      <c r="D24" s="137">
        <f>D25</f>
        <v>60000000000</v>
      </c>
      <c r="E24" s="137">
        <v>5317935761</v>
      </c>
      <c r="F24" s="137">
        <v>46361697918</v>
      </c>
      <c r="G24" s="137">
        <v>43046451503</v>
      </c>
      <c r="H24" s="137">
        <v>39659756379</v>
      </c>
      <c r="I24" s="20">
        <f t="shared" si="6"/>
        <v>0.61815597223999996</v>
      </c>
      <c r="J24" s="20">
        <f t="shared" si="6"/>
        <v>0.71744085838333338</v>
      </c>
      <c r="K24" s="20">
        <v>1.0900000000000001</v>
      </c>
      <c r="L24" s="153"/>
      <c r="M24" s="23"/>
    </row>
    <row r="25" spans="1:13" ht="31.5">
      <c r="A25" s="18"/>
      <c r="B25" s="24" t="s">
        <v>60</v>
      </c>
      <c r="C25" s="19">
        <v>60000000000</v>
      </c>
      <c r="D25" s="19">
        <f>C25</f>
        <v>60000000000</v>
      </c>
      <c r="E25" s="19">
        <v>3126009434</v>
      </c>
      <c r="F25" s="19">
        <v>43046451503</v>
      </c>
      <c r="G25" s="19">
        <v>43046451503</v>
      </c>
      <c r="H25" s="19">
        <v>38071922968</v>
      </c>
      <c r="I25" s="20">
        <f t="shared" si="6"/>
        <v>0.71744085838333338</v>
      </c>
      <c r="J25" s="20">
        <f t="shared" si="6"/>
        <v>0.71744085838333338</v>
      </c>
      <c r="K25" s="20">
        <v>1.06</v>
      </c>
      <c r="L25" s="153"/>
      <c r="M25" s="23"/>
    </row>
    <row r="26" spans="1:13" ht="25.5" customHeight="1">
      <c r="A26" s="136">
        <v>9</v>
      </c>
      <c r="B26" s="21" t="s">
        <v>142</v>
      </c>
      <c r="C26" s="137">
        <v>450000000000</v>
      </c>
      <c r="D26" s="137">
        <f>C26*60%</f>
        <v>270000000000</v>
      </c>
      <c r="E26" s="137">
        <v>32751318134</v>
      </c>
      <c r="F26" s="137">
        <v>93689711028</v>
      </c>
      <c r="G26" s="137">
        <v>56213826618</v>
      </c>
      <c r="H26" s="137">
        <v>335614889562</v>
      </c>
      <c r="I26" s="20">
        <f t="shared" si="6"/>
        <v>0.20819935783999999</v>
      </c>
      <c r="J26" s="20">
        <f t="shared" si="6"/>
        <v>0.20819935784444443</v>
      </c>
      <c r="K26" s="20">
        <v>0.62</v>
      </c>
      <c r="L26" s="153"/>
      <c r="M26" s="23"/>
    </row>
    <row r="27" spans="1:13" ht="31.5" hidden="1">
      <c r="A27" s="18"/>
      <c r="B27" s="24" t="s">
        <v>143</v>
      </c>
      <c r="C27" s="19">
        <v>590000000000</v>
      </c>
      <c r="D27" s="19">
        <f>C27*60%</f>
        <v>354000000000</v>
      </c>
      <c r="E27" s="19"/>
      <c r="F27" s="19"/>
      <c r="G27" s="19"/>
      <c r="H27" s="19"/>
      <c r="I27" s="20">
        <f t="shared" si="6"/>
        <v>0</v>
      </c>
      <c r="J27" s="20">
        <f t="shared" si="6"/>
        <v>0</v>
      </c>
      <c r="K27" s="20" t="e">
        <f t="shared" ref="K22:K28" si="7">F27/H27</f>
        <v>#DIV/0!</v>
      </c>
      <c r="L27" s="153"/>
      <c r="M27" s="23"/>
    </row>
    <row r="28" spans="1:13" ht="19.5" customHeight="1">
      <c r="A28" s="136">
        <v>10</v>
      </c>
      <c r="B28" s="21" t="s">
        <v>61</v>
      </c>
      <c r="C28" s="137">
        <v>10000000000</v>
      </c>
      <c r="D28" s="137">
        <f>C28</f>
        <v>10000000000</v>
      </c>
      <c r="E28" s="137">
        <v>356288600</v>
      </c>
      <c r="F28" s="137">
        <v>939885926</v>
      </c>
      <c r="G28" s="137">
        <f>F28</f>
        <v>939885926</v>
      </c>
      <c r="H28" s="137">
        <v>1448870755</v>
      </c>
      <c r="I28" s="20">
        <f t="shared" si="6"/>
        <v>9.3988592600000004E-2</v>
      </c>
      <c r="J28" s="20">
        <f t="shared" si="6"/>
        <v>9.3988592600000004E-2</v>
      </c>
      <c r="K28" s="20">
        <v>0.36</v>
      </c>
      <c r="L28" s="153"/>
      <c r="M28" s="23"/>
    </row>
    <row r="29" spans="1:13" ht="22.5" customHeight="1">
      <c r="A29" s="136">
        <v>11</v>
      </c>
      <c r="B29" s="21" t="s">
        <v>62</v>
      </c>
      <c r="C29" s="19">
        <v>0</v>
      </c>
      <c r="D29" s="19"/>
      <c r="E29" s="19"/>
      <c r="F29" s="19"/>
      <c r="G29" s="19"/>
      <c r="H29" s="19"/>
      <c r="I29" s="20"/>
      <c r="J29" s="20"/>
      <c r="K29" s="20"/>
      <c r="L29" s="153"/>
      <c r="M29" s="23"/>
    </row>
    <row r="30" spans="1:13">
      <c r="A30" s="18"/>
      <c r="B30" s="24" t="s">
        <v>63</v>
      </c>
      <c r="C30" s="19">
        <v>0</v>
      </c>
      <c r="D30" s="19"/>
      <c r="E30" s="19"/>
      <c r="F30" s="19"/>
      <c r="G30" s="19"/>
      <c r="H30" s="19"/>
      <c r="I30" s="20"/>
      <c r="J30" s="20"/>
      <c r="K30" s="20"/>
      <c r="L30" s="153"/>
      <c r="M30" s="23"/>
    </row>
    <row r="31" spans="1:13" ht="31.5">
      <c r="A31" s="136">
        <v>12</v>
      </c>
      <c r="B31" s="21" t="s">
        <v>64</v>
      </c>
      <c r="C31" s="19">
        <v>0</v>
      </c>
      <c r="D31" s="19"/>
      <c r="E31" s="19"/>
      <c r="F31" s="19"/>
      <c r="G31" s="19"/>
      <c r="H31" s="19"/>
      <c r="I31" s="20"/>
      <c r="J31" s="20"/>
      <c r="K31" s="20"/>
      <c r="L31" s="153"/>
      <c r="M31" s="23"/>
    </row>
    <row r="32" spans="1:13">
      <c r="A32" s="136">
        <v>13</v>
      </c>
      <c r="B32" s="21" t="s">
        <v>21</v>
      </c>
      <c r="C32" s="137">
        <v>90000000000</v>
      </c>
      <c r="D32" s="137">
        <f>D33</f>
        <v>60000000000</v>
      </c>
      <c r="E32" s="137">
        <v>7944478724</v>
      </c>
      <c r="F32" s="137">
        <v>40153359319</v>
      </c>
      <c r="G32" s="137">
        <f>G33</f>
        <v>29472709540</v>
      </c>
      <c r="H32" s="137">
        <v>17405285406</v>
      </c>
      <c r="I32" s="20">
        <f>(F32/C32)*100%</f>
        <v>0.44614843687777778</v>
      </c>
      <c r="J32" s="20">
        <f>(G32/D32)*100%</f>
        <v>0.49121182566666666</v>
      </c>
      <c r="K32" s="20">
        <v>1.21</v>
      </c>
      <c r="L32" s="153"/>
      <c r="M32" s="23"/>
    </row>
    <row r="33" spans="1:13">
      <c r="A33" s="18"/>
      <c r="B33" s="24" t="s">
        <v>65</v>
      </c>
      <c r="C33" s="19">
        <v>60000000000</v>
      </c>
      <c r="D33" s="19">
        <f>C33</f>
        <v>60000000000</v>
      </c>
      <c r="E33" s="19">
        <v>5018127907</v>
      </c>
      <c r="F33" s="19">
        <v>29472709540</v>
      </c>
      <c r="G33" s="19">
        <f>F33</f>
        <v>29472709540</v>
      </c>
      <c r="H33" s="19">
        <v>13920141147</v>
      </c>
      <c r="I33" s="20">
        <f>(F33/C33)*100%</f>
        <v>0.49121182566666666</v>
      </c>
      <c r="J33" s="20">
        <f>(G33/D33)*100%</f>
        <v>0.49121182566666666</v>
      </c>
      <c r="K33" s="20"/>
      <c r="L33" s="153"/>
      <c r="M33" s="23"/>
    </row>
    <row r="34" spans="1:13" ht="31.5">
      <c r="A34" s="136">
        <v>14</v>
      </c>
      <c r="B34" s="21" t="s">
        <v>66</v>
      </c>
      <c r="C34" s="137"/>
      <c r="D34" s="19"/>
      <c r="E34" s="19"/>
      <c r="F34" s="19"/>
      <c r="G34" s="19"/>
      <c r="H34" s="19"/>
      <c r="I34" s="20"/>
      <c r="J34" s="20"/>
      <c r="K34" s="20"/>
      <c r="L34" s="153"/>
      <c r="M34" s="23"/>
    </row>
    <row r="35" spans="1:13">
      <c r="A35" s="136">
        <v>16</v>
      </c>
      <c r="B35" s="21" t="s">
        <v>67</v>
      </c>
      <c r="C35" s="137">
        <v>0</v>
      </c>
      <c r="D35" s="19"/>
      <c r="E35" s="19"/>
      <c r="F35" s="19"/>
      <c r="G35" s="19"/>
      <c r="H35" s="19"/>
      <c r="I35" s="20"/>
      <c r="J35" s="20"/>
      <c r="K35" s="20"/>
      <c r="L35" s="153"/>
      <c r="M35" s="23"/>
    </row>
    <row r="36" spans="1:13" ht="31.5">
      <c r="A36" s="136">
        <v>17</v>
      </c>
      <c r="B36" s="21" t="s">
        <v>68</v>
      </c>
      <c r="C36" s="19">
        <v>0</v>
      </c>
      <c r="D36" s="19"/>
      <c r="E36" s="19"/>
      <c r="F36" s="19"/>
      <c r="G36" s="19"/>
      <c r="H36" s="19"/>
      <c r="I36" s="20"/>
      <c r="J36" s="20"/>
      <c r="K36" s="20"/>
      <c r="L36" s="153"/>
      <c r="M36" s="23"/>
    </row>
    <row r="37" spans="1:13">
      <c r="A37" s="136" t="s">
        <v>8</v>
      </c>
      <c r="B37" s="21" t="s">
        <v>69</v>
      </c>
      <c r="C37" s="19"/>
      <c r="D37" s="19"/>
      <c r="E37" s="19"/>
      <c r="F37" s="19"/>
      <c r="G37" s="19"/>
      <c r="H37" s="19"/>
      <c r="I37" s="20"/>
      <c r="J37" s="20"/>
      <c r="K37" s="20"/>
      <c r="L37" s="153"/>
      <c r="M37" s="23"/>
    </row>
    <row r="38" spans="1:13">
      <c r="A38" s="136" t="s">
        <v>9</v>
      </c>
      <c r="B38" s="21" t="s">
        <v>70</v>
      </c>
      <c r="C38" s="137">
        <f>C39+C40+C43</f>
        <v>1139042000000</v>
      </c>
      <c r="D38" s="137">
        <f t="shared" ref="D38:G38" si="8">D39+D40+D43</f>
        <v>1139042000000</v>
      </c>
      <c r="E38" s="137">
        <f>E39</f>
        <v>174572000000</v>
      </c>
      <c r="F38" s="137">
        <f>F39+F40+F43</f>
        <v>445078000000</v>
      </c>
      <c r="G38" s="137">
        <f t="shared" si="8"/>
        <v>445078000000</v>
      </c>
      <c r="H38" s="137">
        <f>H39+H40+H43</f>
        <v>306649000000</v>
      </c>
      <c r="I38" s="20">
        <f>(F38/C38)*100%</f>
        <v>0.39074766338730266</v>
      </c>
      <c r="J38" s="20">
        <f>(G38/D38)*100%</f>
        <v>0.39074766338730266</v>
      </c>
      <c r="K38" s="20"/>
      <c r="L38" s="153"/>
      <c r="M38" s="23"/>
    </row>
    <row r="39" spans="1:13">
      <c r="A39" s="18"/>
      <c r="B39" s="25" t="s">
        <v>71</v>
      </c>
      <c r="C39" s="19">
        <v>1047432000000</v>
      </c>
      <c r="D39" s="19">
        <f>C39</f>
        <v>1047432000000</v>
      </c>
      <c r="E39" s="19">
        <v>174572000000</v>
      </c>
      <c r="F39" s="19">
        <v>353468000000</v>
      </c>
      <c r="G39" s="19">
        <f>F39</f>
        <v>353468000000</v>
      </c>
      <c r="H39" s="19">
        <v>199923000000</v>
      </c>
      <c r="I39" s="20">
        <f>(F39/C39)*100%</f>
        <v>0.33746152494863629</v>
      </c>
      <c r="J39" s="20">
        <f>(G39/D39)*100%</f>
        <v>0.33746152494863629</v>
      </c>
      <c r="K39" s="20"/>
      <c r="L39" s="153"/>
      <c r="M39" s="23"/>
    </row>
    <row r="40" spans="1:13">
      <c r="A40" s="18"/>
      <c r="B40" s="25" t="s">
        <v>144</v>
      </c>
      <c r="C40" s="19">
        <f>C41+C42</f>
        <v>0</v>
      </c>
      <c r="D40" s="19">
        <f t="shared" ref="D40:G40" si="9">D41+D42</f>
        <v>0</v>
      </c>
      <c r="E40" s="19"/>
      <c r="F40" s="19">
        <f>F41+F42</f>
        <v>0</v>
      </c>
      <c r="G40" s="19">
        <f t="shared" si="9"/>
        <v>0</v>
      </c>
      <c r="H40" s="19"/>
      <c r="I40" s="20"/>
      <c r="J40" s="20"/>
      <c r="K40" s="20"/>
      <c r="L40" s="153"/>
      <c r="M40" s="23"/>
    </row>
    <row r="41" spans="1:13">
      <c r="A41" s="18"/>
      <c r="B41" s="25" t="s">
        <v>72</v>
      </c>
      <c r="C41" s="19"/>
      <c r="D41" s="19">
        <f>C41</f>
        <v>0</v>
      </c>
      <c r="E41" s="19"/>
      <c r="F41" s="19"/>
      <c r="G41" s="19">
        <f>F41</f>
        <v>0</v>
      </c>
      <c r="H41" s="19"/>
      <c r="I41" s="20"/>
      <c r="J41" s="20"/>
      <c r="K41" s="20"/>
      <c r="L41" s="153"/>
      <c r="M41" s="23"/>
    </row>
    <row r="42" spans="1:13">
      <c r="A42" s="18"/>
      <c r="B42" s="25" t="s">
        <v>73</v>
      </c>
      <c r="C42" s="19"/>
      <c r="D42" s="19"/>
      <c r="E42" s="19"/>
      <c r="F42" s="19"/>
      <c r="G42" s="19"/>
      <c r="H42" s="19"/>
      <c r="I42" s="20"/>
      <c r="J42" s="20"/>
      <c r="K42" s="20"/>
      <c r="L42" s="153"/>
      <c r="M42" s="23"/>
    </row>
    <row r="43" spans="1:13">
      <c r="A43" s="136"/>
      <c r="B43" s="25" t="s">
        <v>145</v>
      </c>
      <c r="C43" s="19">
        <v>91610000000</v>
      </c>
      <c r="D43" s="19">
        <f>C43</f>
        <v>91610000000</v>
      </c>
      <c r="E43" s="19"/>
      <c r="F43" s="19">
        <v>91610000000</v>
      </c>
      <c r="G43" s="19">
        <f>F43</f>
        <v>91610000000</v>
      </c>
      <c r="H43" s="19">
        <v>106726000000</v>
      </c>
      <c r="I43" s="20">
        <f>(F43/C43)*100%</f>
        <v>1</v>
      </c>
      <c r="J43" s="20">
        <f>(G43/D43)*100%</f>
        <v>1</v>
      </c>
      <c r="K43" s="20"/>
      <c r="L43" s="153"/>
      <c r="M43" s="23"/>
    </row>
    <row r="44" spans="1:13" s="154" customFormat="1">
      <c r="A44" s="136" t="s">
        <v>11</v>
      </c>
      <c r="B44" s="27" t="s">
        <v>146</v>
      </c>
      <c r="C44" s="137"/>
      <c r="D44" s="137"/>
      <c r="E44" s="137"/>
      <c r="F44" s="137"/>
      <c r="G44" s="137"/>
      <c r="H44" s="17"/>
      <c r="I44" s="20"/>
      <c r="J44" s="20"/>
      <c r="K44" s="20"/>
      <c r="M44" s="23"/>
    </row>
    <row r="45" spans="1:13" s="154" customFormat="1">
      <c r="A45" s="136" t="s">
        <v>46</v>
      </c>
      <c r="B45" s="27" t="s">
        <v>147</v>
      </c>
      <c r="C45" s="137"/>
      <c r="D45" s="137"/>
      <c r="E45" s="137"/>
      <c r="F45" s="137"/>
      <c r="G45" s="137"/>
      <c r="H45" s="17"/>
      <c r="I45" s="20"/>
      <c r="J45" s="20"/>
      <c r="K45" s="20"/>
      <c r="M45" s="23"/>
    </row>
    <row r="46" spans="1:13" s="154" customFormat="1">
      <c r="A46" s="136" t="s">
        <v>148</v>
      </c>
      <c r="B46" s="27" t="s">
        <v>149</v>
      </c>
      <c r="C46" s="137"/>
      <c r="D46" s="137"/>
      <c r="E46" s="137"/>
      <c r="F46" s="137"/>
      <c r="G46" s="137"/>
      <c r="H46" s="17"/>
      <c r="I46" s="20"/>
      <c r="J46" s="20"/>
      <c r="K46" s="20"/>
      <c r="M46" s="23"/>
    </row>
    <row r="47" spans="1:13" ht="27" customHeight="1">
      <c r="A47" s="136" t="s">
        <v>150</v>
      </c>
      <c r="B47" s="21" t="s">
        <v>74</v>
      </c>
      <c r="C47" s="137">
        <f>C48</f>
        <v>0</v>
      </c>
      <c r="D47" s="137">
        <f>D48</f>
        <v>158013000000</v>
      </c>
      <c r="E47" s="137"/>
      <c r="F47" s="137">
        <f t="shared" ref="F47:G47" si="10">F48</f>
        <v>0</v>
      </c>
      <c r="G47" s="137">
        <f t="shared" si="10"/>
        <v>0</v>
      </c>
      <c r="I47" s="20"/>
      <c r="J47" s="20"/>
      <c r="K47" s="20"/>
    </row>
    <row r="48" spans="1:13">
      <c r="A48" s="18"/>
      <c r="B48" s="25" t="s">
        <v>151</v>
      </c>
      <c r="C48" s="19">
        <v>0</v>
      </c>
      <c r="D48" s="19">
        <v>158013000000</v>
      </c>
      <c r="E48" s="19"/>
      <c r="F48" s="19"/>
      <c r="G48" s="19"/>
      <c r="I48" s="26"/>
      <c r="J48" s="26"/>
      <c r="K48" s="26"/>
    </row>
    <row r="49" spans="1:8" ht="29.25" customHeight="1">
      <c r="A49" s="28" t="s">
        <v>152</v>
      </c>
      <c r="C49" s="16"/>
      <c r="D49" s="16"/>
      <c r="E49" s="16"/>
      <c r="F49" s="16"/>
      <c r="G49" s="16"/>
      <c r="H49" s="16"/>
    </row>
    <row r="50" spans="1:8">
      <c r="A50" s="28"/>
      <c r="C50" s="16"/>
      <c r="D50" s="16"/>
      <c r="E50" s="16"/>
      <c r="F50" s="16"/>
      <c r="G50" s="16"/>
      <c r="H50" s="16"/>
    </row>
    <row r="51" spans="1:8">
      <c r="A51" s="28"/>
      <c r="C51" s="16"/>
      <c r="D51" s="16"/>
      <c r="E51" s="16"/>
      <c r="F51" s="16"/>
      <c r="G51" s="16"/>
      <c r="H51" s="16"/>
    </row>
    <row r="52" spans="1:8">
      <c r="A52" s="28"/>
      <c r="C52" s="16"/>
      <c r="D52" s="16"/>
      <c r="E52" s="16"/>
      <c r="F52" s="16"/>
      <c r="G52" s="16"/>
      <c r="H52" s="16"/>
    </row>
    <row r="53" spans="1:8">
      <c r="A53" s="28"/>
      <c r="C53" s="16"/>
      <c r="D53" s="16"/>
      <c r="E53" s="16"/>
      <c r="F53" s="16"/>
      <c r="G53" s="16"/>
      <c r="H53" s="16"/>
    </row>
    <row r="54" spans="1:8">
      <c r="A54" s="28"/>
      <c r="C54" s="16"/>
      <c r="D54" s="16"/>
      <c r="E54" s="16"/>
      <c r="F54" s="16"/>
      <c r="G54" s="16"/>
      <c r="H54" s="16"/>
    </row>
    <row r="55" spans="1:8">
      <c r="A55" s="28"/>
      <c r="C55" s="16"/>
      <c r="D55" s="16"/>
      <c r="E55" s="16"/>
      <c r="F55" s="16"/>
      <c r="G55" s="16"/>
      <c r="H55" s="16"/>
    </row>
    <row r="56" spans="1:8">
      <c r="A56" s="28"/>
      <c r="C56" s="16"/>
      <c r="D56" s="16"/>
      <c r="E56" s="16"/>
      <c r="F56" s="16"/>
      <c r="G56" s="16"/>
      <c r="H56" s="16"/>
    </row>
    <row r="57" spans="1:8">
      <c r="A57" s="28"/>
      <c r="C57" s="16"/>
      <c r="D57" s="16"/>
      <c r="E57" s="16"/>
      <c r="F57" s="16"/>
      <c r="G57" s="16"/>
      <c r="H57" s="16"/>
    </row>
    <row r="58" spans="1:8">
      <c r="A58" s="28"/>
      <c r="C58" s="16"/>
      <c r="D58" s="16"/>
      <c r="E58" s="16"/>
      <c r="F58" s="16"/>
      <c r="G58" s="16"/>
      <c r="H58" s="16"/>
    </row>
    <row r="59" spans="1:8">
      <c r="A59" s="28"/>
      <c r="C59" s="16"/>
      <c r="D59" s="16"/>
      <c r="E59" s="16"/>
      <c r="F59" s="16"/>
      <c r="G59" s="16"/>
      <c r="H59" s="16"/>
    </row>
    <row r="60" spans="1:8">
      <c r="A60" s="28"/>
      <c r="C60" s="16"/>
      <c r="D60" s="16"/>
      <c r="E60" s="16"/>
      <c r="F60" s="16"/>
      <c r="G60" s="16"/>
      <c r="H60" s="16"/>
    </row>
    <row r="61" spans="1:8">
      <c r="A61" s="28"/>
      <c r="C61" s="16"/>
      <c r="D61" s="16"/>
      <c r="E61" s="16"/>
      <c r="F61" s="16"/>
      <c r="G61" s="16"/>
      <c r="H61" s="16"/>
    </row>
    <row r="62" spans="1:8">
      <c r="A62" s="28"/>
      <c r="C62" s="16"/>
      <c r="D62" s="16"/>
      <c r="E62" s="16"/>
      <c r="F62" s="16"/>
      <c r="G62" s="16"/>
      <c r="H62" s="16"/>
    </row>
    <row r="63" spans="1:8">
      <c r="A63" s="28"/>
      <c r="C63" s="16"/>
      <c r="D63" s="16"/>
      <c r="E63" s="16"/>
      <c r="F63" s="16"/>
      <c r="G63" s="16"/>
      <c r="H63" s="16"/>
    </row>
    <row r="64" spans="1:8">
      <c r="A64" s="28"/>
      <c r="C64" s="16"/>
      <c r="D64" s="16"/>
      <c r="E64" s="16"/>
      <c r="F64" s="16"/>
      <c r="G64" s="16"/>
      <c r="H64" s="16"/>
    </row>
    <row r="65" spans="1:11">
      <c r="A65" s="28"/>
    </row>
    <row r="66" spans="1:11">
      <c r="A66" s="28"/>
    </row>
    <row r="67" spans="1:11">
      <c r="A67" s="28"/>
    </row>
    <row r="68" spans="1:11">
      <c r="A68" s="28"/>
    </row>
    <row r="69" spans="1:11">
      <c r="A69" s="28"/>
    </row>
    <row r="70" spans="1:11">
      <c r="A70" s="28"/>
      <c r="H70" s="30"/>
    </row>
    <row r="71" spans="1:11">
      <c r="A71" s="28"/>
      <c r="H71" s="30"/>
    </row>
    <row r="72" spans="1:11">
      <c r="A72" s="28"/>
    </row>
    <row r="73" spans="1:11">
      <c r="A73" s="28"/>
    </row>
    <row r="74" spans="1:11">
      <c r="A74" s="28"/>
    </row>
    <row r="75" spans="1:11" ht="126">
      <c r="A75" s="28"/>
      <c r="C75" s="29">
        <v>1</v>
      </c>
      <c r="D75" s="30" t="s">
        <v>75</v>
      </c>
      <c r="E75" s="30"/>
      <c r="F75" s="30"/>
      <c r="G75" s="30"/>
      <c r="I75" s="135" t="s">
        <v>76</v>
      </c>
      <c r="J75" s="135"/>
      <c r="K75" s="135"/>
    </row>
    <row r="76" spans="1:11">
      <c r="A76" s="16" t="s">
        <v>77</v>
      </c>
      <c r="C76" s="30">
        <f>SUM(C82:C88)</f>
        <v>622400</v>
      </c>
      <c r="D76" s="30">
        <f>SUM(D82:D86)</f>
        <v>762340</v>
      </c>
      <c r="E76" s="30"/>
      <c r="F76" s="30"/>
      <c r="G76" s="30"/>
      <c r="I76" s="31" t="e">
        <f>#REF!+#REF!</f>
        <v>#REF!</v>
      </c>
      <c r="J76" s="31"/>
      <c r="K76" s="31"/>
    </row>
    <row r="77" spans="1:11">
      <c r="A77" s="221"/>
    </row>
    <row r="78" spans="1:11">
      <c r="A78" s="221"/>
    </row>
    <row r="79" spans="1:11">
      <c r="A79" s="221"/>
    </row>
    <row r="80" spans="1:11">
      <c r="A80" s="221"/>
    </row>
    <row r="81" spans="3:8">
      <c r="E81" s="16"/>
      <c r="F81" s="16"/>
      <c r="G81" s="16"/>
      <c r="H81" s="16"/>
    </row>
    <row r="82" spans="3:8">
      <c r="C82" s="17">
        <v>10000</v>
      </c>
      <c r="D82" s="17">
        <v>495850</v>
      </c>
      <c r="E82" s="16"/>
      <c r="F82" s="16"/>
      <c r="G82" s="16"/>
      <c r="H82" s="16"/>
    </row>
    <row r="83" spans="3:8">
      <c r="C83" s="17">
        <v>440000</v>
      </c>
      <c r="D83" s="17">
        <v>108100</v>
      </c>
      <c r="E83" s="16"/>
      <c r="F83" s="16"/>
      <c r="G83" s="16"/>
      <c r="H83" s="16"/>
    </row>
    <row r="84" spans="3:8">
      <c r="C84" s="17">
        <v>60000</v>
      </c>
      <c r="D84" s="17">
        <v>2350</v>
      </c>
      <c r="E84" s="16"/>
      <c r="F84" s="16"/>
      <c r="G84" s="16"/>
      <c r="H84" s="16"/>
    </row>
    <row r="85" spans="3:8">
      <c r="C85" s="17">
        <v>41400</v>
      </c>
      <c r="D85" s="17">
        <v>150400</v>
      </c>
      <c r="E85" s="16"/>
      <c r="F85" s="16"/>
      <c r="G85" s="16"/>
      <c r="H85" s="16"/>
    </row>
    <row r="86" spans="3:8">
      <c r="C86" s="17">
        <v>15000</v>
      </c>
      <c r="D86" s="17">
        <v>5640</v>
      </c>
      <c r="E86" s="16"/>
      <c r="F86" s="16"/>
      <c r="G86" s="16"/>
      <c r="H86" s="16"/>
    </row>
    <row r="87" spans="3:8">
      <c r="C87" s="17">
        <v>5000</v>
      </c>
      <c r="E87" s="16"/>
      <c r="F87" s="16"/>
      <c r="G87" s="16"/>
      <c r="H87" s="16"/>
    </row>
    <row r="88" spans="3:8">
      <c r="C88" s="17">
        <v>51000</v>
      </c>
      <c r="E88" s="16"/>
      <c r="F88" s="16"/>
      <c r="G88" s="16"/>
      <c r="H88" s="16"/>
    </row>
    <row r="89" spans="3:8">
      <c r="E89" s="16"/>
      <c r="F89" s="16"/>
      <c r="G89" s="16"/>
      <c r="H89" s="16"/>
    </row>
    <row r="91" spans="3:8">
      <c r="E91" s="16"/>
      <c r="F91" s="16"/>
      <c r="G91" s="16"/>
      <c r="H91" s="16"/>
    </row>
    <row r="92" spans="3:8">
      <c r="E92" s="16"/>
      <c r="F92" s="16"/>
      <c r="G92" s="16"/>
      <c r="H92" s="16"/>
    </row>
    <row r="93" spans="3:8">
      <c r="E93" s="16"/>
      <c r="F93" s="16"/>
      <c r="G93" s="16"/>
      <c r="H93" s="16"/>
    </row>
    <row r="94" spans="3:8">
      <c r="E94" s="16"/>
      <c r="F94" s="16"/>
      <c r="G94" s="16"/>
      <c r="H94" s="16"/>
    </row>
    <row r="95" spans="3:8">
      <c r="E95" s="16"/>
      <c r="F95" s="16"/>
      <c r="G95" s="16"/>
      <c r="H95" s="16"/>
    </row>
    <row r="96" spans="3:8">
      <c r="E96" s="16"/>
      <c r="F96" s="16"/>
      <c r="G96" s="16"/>
      <c r="H96" s="16"/>
    </row>
    <row r="97" spans="3:8">
      <c r="C97" s="16"/>
      <c r="D97" s="16"/>
      <c r="E97" s="16"/>
      <c r="F97" s="16"/>
      <c r="G97" s="16"/>
      <c r="H97" s="16"/>
    </row>
  </sheetData>
  <mergeCells count="12">
    <mergeCell ref="A77:A80"/>
    <mergeCell ref="B4:K4"/>
    <mergeCell ref="A6:A7"/>
    <mergeCell ref="B6:B7"/>
    <mergeCell ref="C6:D6"/>
    <mergeCell ref="E6:G6"/>
    <mergeCell ref="I6:K6"/>
    <mergeCell ref="A1:B1"/>
    <mergeCell ref="A2:B2"/>
    <mergeCell ref="A3:B3"/>
    <mergeCell ref="C1:I1"/>
    <mergeCell ref="C2:I2"/>
  </mergeCell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8"/>
  <sheetViews>
    <sheetView workbookViewId="0">
      <selection activeCell="I13" sqref="I13:I15"/>
    </sheetView>
  </sheetViews>
  <sheetFormatPr defaultRowHeight="15.75"/>
  <cols>
    <col min="1" max="1" width="5.875" customWidth="1"/>
    <col min="2" max="2" width="36.125" customWidth="1"/>
    <col min="3" max="3" width="19.25" style="5" customWidth="1"/>
    <col min="4" max="4" width="17" customWidth="1"/>
    <col min="5" max="5" width="14.625" hidden="1" customWidth="1"/>
    <col min="6" max="6" width="14.875" hidden="1" customWidth="1"/>
    <col min="7" max="7" width="7" hidden="1" customWidth="1"/>
    <col min="8" max="9" width="16.625" customWidth="1"/>
    <col min="10" max="10" width="9.5" customWidth="1"/>
    <col min="11" max="11" width="10.25" customWidth="1"/>
    <col min="12" max="12" width="15.75" customWidth="1"/>
    <col min="13" max="13" width="15.625" hidden="1" customWidth="1"/>
  </cols>
  <sheetData>
    <row r="1" spans="1:13" ht="22.5" customHeight="1">
      <c r="A1" s="240" t="s">
        <v>28</v>
      </c>
      <c r="B1" s="240"/>
      <c r="C1" s="32"/>
      <c r="D1" s="220" t="s">
        <v>12</v>
      </c>
      <c r="E1" s="220"/>
      <c r="F1" s="220"/>
      <c r="G1" s="220"/>
      <c r="H1" s="220"/>
      <c r="I1" s="220"/>
      <c r="J1" s="220"/>
    </row>
    <row r="2" spans="1:13" ht="20.25" customHeight="1">
      <c r="A2" s="241" t="s">
        <v>29</v>
      </c>
      <c r="B2" s="241"/>
      <c r="C2" s="33"/>
      <c r="D2" s="242" t="s">
        <v>51</v>
      </c>
      <c r="E2" s="242"/>
      <c r="F2" s="242"/>
      <c r="G2" s="242"/>
      <c r="H2" s="242"/>
      <c r="I2" s="242"/>
      <c r="J2" s="242"/>
    </row>
    <row r="3" spans="1:13" ht="17.25" customHeight="1"/>
    <row r="4" spans="1:13" ht="26.25" customHeight="1">
      <c r="A4" s="243" t="s">
        <v>169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3" ht="16.5" customHeight="1">
      <c r="A5" s="243"/>
      <c r="B5" s="243"/>
      <c r="C5" s="243"/>
      <c r="D5" s="243"/>
      <c r="F5" s="5"/>
      <c r="H5" s="5"/>
      <c r="I5" s="5"/>
      <c r="L5" s="34"/>
    </row>
    <row r="6" spans="1:13" ht="22.5" customHeight="1">
      <c r="D6" s="34"/>
      <c r="E6" s="34"/>
      <c r="F6" s="34"/>
      <c r="H6" s="156"/>
      <c r="I6" s="34"/>
    </row>
    <row r="7" spans="1:13" s="35" customFormat="1" ht="26.25" customHeight="1">
      <c r="A7" s="230" t="s">
        <v>0</v>
      </c>
      <c r="B7" s="232" t="s">
        <v>78</v>
      </c>
      <c r="C7" s="234" t="s">
        <v>154</v>
      </c>
      <c r="D7" s="236" t="s">
        <v>155</v>
      </c>
      <c r="E7" s="238" t="s">
        <v>156</v>
      </c>
      <c r="F7" s="236" t="s">
        <v>157</v>
      </c>
      <c r="G7" s="236" t="s">
        <v>79</v>
      </c>
      <c r="H7" s="238" t="s">
        <v>170</v>
      </c>
      <c r="I7" s="236" t="s">
        <v>171</v>
      </c>
      <c r="J7" s="236" t="s">
        <v>158</v>
      </c>
      <c r="K7" s="249" t="s">
        <v>161</v>
      </c>
      <c r="M7" s="238" t="s">
        <v>162</v>
      </c>
    </row>
    <row r="8" spans="1:13" s="35" customFormat="1" ht="39" customHeight="1">
      <c r="A8" s="231"/>
      <c r="B8" s="233"/>
      <c r="C8" s="235"/>
      <c r="D8" s="237"/>
      <c r="E8" s="239"/>
      <c r="F8" s="237"/>
      <c r="G8" s="237"/>
      <c r="H8" s="239"/>
      <c r="I8" s="237"/>
      <c r="J8" s="237"/>
      <c r="K8" s="250"/>
      <c r="M8" s="239"/>
    </row>
    <row r="9" spans="1:13" s="35" customFormat="1" ht="30" customHeight="1">
      <c r="A9" s="36"/>
      <c r="B9" s="37" t="s">
        <v>80</v>
      </c>
      <c r="C9" s="245">
        <f>C10</f>
        <v>3161055000000</v>
      </c>
      <c r="D9" s="245">
        <f>D10+D52+D55</f>
        <v>3161055000000</v>
      </c>
      <c r="E9" s="245">
        <f t="shared" ref="E9:G9" si="0">E10+E52+E55</f>
        <v>40481384634</v>
      </c>
      <c r="F9" s="245">
        <f t="shared" si="0"/>
        <v>260034157142</v>
      </c>
      <c r="G9" s="245">
        <f t="shared" si="0"/>
        <v>8.394277699237028E-2</v>
      </c>
      <c r="H9" s="245">
        <f>H10+H47+H51</f>
        <v>160208818868</v>
      </c>
      <c r="I9" s="245">
        <f>I10+I47+I51</f>
        <v>489450315381</v>
      </c>
      <c r="J9" s="39">
        <f>I9/D9*100%</f>
        <v>0.15483764609631911</v>
      </c>
      <c r="K9" s="39">
        <f>I9/513744724717</f>
        <v>0.95271112642687916</v>
      </c>
      <c r="M9" s="38">
        <f>M10+M47+M51+M52+M55+M60+M57</f>
        <v>834029422056</v>
      </c>
    </row>
    <row r="10" spans="1:13" s="44" customFormat="1" ht="26.25" customHeight="1">
      <c r="A10" s="41" t="s">
        <v>1</v>
      </c>
      <c r="B10" s="42" t="s">
        <v>81</v>
      </c>
      <c r="C10" s="43">
        <f>C11+C17+C52+C55</f>
        <v>3161055000000</v>
      </c>
      <c r="D10" s="43">
        <f>D11+D17+D44+D46+D45</f>
        <v>3097755000000</v>
      </c>
      <c r="E10" s="43">
        <f t="shared" ref="E10:F10" si="1">E11+E17+E44+E46+E45</f>
        <v>40481384634</v>
      </c>
      <c r="F10" s="43">
        <f t="shared" si="1"/>
        <v>260034157142</v>
      </c>
      <c r="G10" s="158">
        <f t="shared" ref="G10:G31" si="2">F10/D10*100%</f>
        <v>8.394277699237028E-2</v>
      </c>
      <c r="H10" s="43">
        <f>H11+H17+H44+H45+H46</f>
        <v>156835151387</v>
      </c>
      <c r="I10" s="43">
        <f>I11+I17+I44+I45+I46</f>
        <v>475557647900</v>
      </c>
      <c r="J10" s="39">
        <f t="shared" ref="J10:J45" si="3">I10/D10*100%</f>
        <v>0.15351686879691906</v>
      </c>
      <c r="K10" s="39">
        <f>I10/431914168727</f>
        <v>1.1010466484617358</v>
      </c>
      <c r="M10" s="157">
        <f t="shared" ref="M10" si="4">M11+M17+M44+M46+M45</f>
        <v>569953922630</v>
      </c>
    </row>
    <row r="11" spans="1:13" s="35" customFormat="1" ht="26.25" customHeight="1">
      <c r="A11" s="45" t="s">
        <v>5</v>
      </c>
      <c r="B11" s="45" t="s">
        <v>82</v>
      </c>
      <c r="C11" s="246">
        <f>SUM(C13:C15)</f>
        <v>600867000000</v>
      </c>
      <c r="D11" s="46">
        <f>D12</f>
        <v>600867000000</v>
      </c>
      <c r="E11" s="47">
        <f t="shared" ref="E11:I11" si="5">E12</f>
        <v>4944110800</v>
      </c>
      <c r="F11" s="47">
        <f t="shared" si="5"/>
        <v>8868000000</v>
      </c>
      <c r="G11" s="159">
        <f>F11/D11</f>
        <v>1.4758673716479686E-2</v>
      </c>
      <c r="H11" s="47">
        <f t="shared" si="5"/>
        <v>10643000000</v>
      </c>
      <c r="I11" s="47">
        <f t="shared" si="5"/>
        <v>22586000000</v>
      </c>
      <c r="J11" s="39">
        <f t="shared" si="3"/>
        <v>3.7589017203474316E-2</v>
      </c>
      <c r="K11" s="39">
        <f>I11/37518000000</f>
        <v>0.6020043712351405</v>
      </c>
      <c r="L11" s="40"/>
      <c r="M11" s="47">
        <f t="shared" ref="M11" si="6">M12</f>
        <v>134488000000</v>
      </c>
    </row>
    <row r="12" spans="1:13" s="35" customFormat="1" ht="26.25" customHeight="1">
      <c r="A12" s="48">
        <v>1</v>
      </c>
      <c r="B12" s="45" t="s">
        <v>83</v>
      </c>
      <c r="C12" s="246">
        <f>SUM(C13:C15)</f>
        <v>600867000000</v>
      </c>
      <c r="D12" s="246">
        <f t="shared" ref="D12:I12" si="7">SUM(D13:D15)</f>
        <v>600867000000</v>
      </c>
      <c r="E12" s="246">
        <f t="shared" si="7"/>
        <v>4944110800</v>
      </c>
      <c r="F12" s="246">
        <f t="shared" si="7"/>
        <v>8868000000</v>
      </c>
      <c r="G12" s="246">
        <f t="shared" si="7"/>
        <v>3.7989019965308013E-2</v>
      </c>
      <c r="H12" s="246">
        <f t="shared" si="7"/>
        <v>10643000000</v>
      </c>
      <c r="I12" s="246">
        <f t="shared" si="7"/>
        <v>22586000000</v>
      </c>
      <c r="J12" s="39">
        <f t="shared" si="3"/>
        <v>3.7589017203474316E-2</v>
      </c>
      <c r="K12" s="39">
        <f>I12/37518000000</f>
        <v>0.6020043712351405</v>
      </c>
      <c r="M12" s="47">
        <f>SUM(M13:M15)</f>
        <v>134488000000</v>
      </c>
    </row>
    <row r="13" spans="1:13" s="35" customFormat="1" ht="26.25" customHeight="1">
      <c r="A13" s="48"/>
      <c r="B13" s="50" t="s">
        <v>84</v>
      </c>
      <c r="C13" s="247">
        <v>239257000000</v>
      </c>
      <c r="D13" s="247">
        <v>239257000000</v>
      </c>
      <c r="E13" s="51">
        <f>5112000000-3923889200</f>
        <v>1188110800</v>
      </c>
      <c r="F13" s="51">
        <v>5112000000</v>
      </c>
      <c r="G13" s="158">
        <f t="shared" si="2"/>
        <v>2.1366146027075487E-2</v>
      </c>
      <c r="H13" s="51">
        <v>1595000000</v>
      </c>
      <c r="I13" s="51">
        <v>5025000000</v>
      </c>
      <c r="J13" s="52">
        <f t="shared" si="3"/>
        <v>2.1002520302436292E-2</v>
      </c>
      <c r="K13" s="52">
        <f>I13/23462000000</f>
        <v>0.21417611456823801</v>
      </c>
      <c r="L13" s="40"/>
      <c r="M13" s="51">
        <v>78561000000</v>
      </c>
    </row>
    <row r="14" spans="1:13" s="35" customFormat="1" ht="26.25" customHeight="1">
      <c r="A14" s="48"/>
      <c r="B14" s="50" t="s">
        <v>85</v>
      </c>
      <c r="C14" s="247">
        <v>270000000000</v>
      </c>
      <c r="D14" s="247">
        <v>270000000000</v>
      </c>
      <c r="E14" s="51">
        <v>3380000000</v>
      </c>
      <c r="F14" s="51">
        <v>3380000000</v>
      </c>
      <c r="G14" s="160">
        <f t="shared" si="2"/>
        <v>1.2518518518518519E-2</v>
      </c>
      <c r="H14" s="51">
        <v>3251000000</v>
      </c>
      <c r="I14" s="51">
        <v>8683000000</v>
      </c>
      <c r="J14" s="52">
        <f t="shared" si="3"/>
        <v>3.2159259259259262E-2</v>
      </c>
      <c r="K14" s="52">
        <f>I14/10561000000</f>
        <v>0.82217593030962977</v>
      </c>
      <c r="M14" s="51">
        <v>52225000000</v>
      </c>
    </row>
    <row r="15" spans="1:13" s="35" customFormat="1" ht="26.25" customHeight="1">
      <c r="A15" s="48"/>
      <c r="B15" s="50" t="s">
        <v>86</v>
      </c>
      <c r="C15" s="247">
        <v>91610000000</v>
      </c>
      <c r="D15" s="247">
        <v>91610000000</v>
      </c>
      <c r="E15" s="51">
        <v>376000000</v>
      </c>
      <c r="F15" s="51">
        <v>376000000</v>
      </c>
      <c r="G15" s="160">
        <f t="shared" si="2"/>
        <v>4.1043554197140054E-3</v>
      </c>
      <c r="H15" s="51">
        <v>5797000000</v>
      </c>
      <c r="I15" s="51">
        <v>8878000000</v>
      </c>
      <c r="J15" s="52">
        <f t="shared" si="3"/>
        <v>9.6910817596332272E-2</v>
      </c>
      <c r="K15" s="52">
        <f>I15/3495000000</f>
        <v>2.5402002861230328</v>
      </c>
      <c r="L15" s="161"/>
      <c r="M15" s="51">
        <v>3702000000</v>
      </c>
    </row>
    <row r="16" spans="1:13" s="35" customFormat="1" ht="26.25" customHeight="1">
      <c r="A16" s="48">
        <v>2</v>
      </c>
      <c r="B16" s="45" t="s">
        <v>172</v>
      </c>
      <c r="C16" s="248"/>
      <c r="D16" s="53"/>
      <c r="E16" s="54"/>
      <c r="F16" s="51" t="e">
        <f>E16+#REF!</f>
        <v>#REF!</v>
      </c>
      <c r="G16" s="158" t="e">
        <f t="shared" si="2"/>
        <v>#REF!</v>
      </c>
      <c r="H16" s="54">
        <v>0</v>
      </c>
      <c r="I16" s="54">
        <v>0</v>
      </c>
      <c r="J16" s="39"/>
      <c r="K16" s="39"/>
      <c r="M16" s="54"/>
    </row>
    <row r="17" spans="1:13" s="35" customFormat="1" ht="26.25" customHeight="1">
      <c r="A17" s="55" t="s">
        <v>8</v>
      </c>
      <c r="B17" s="55" t="s">
        <v>87</v>
      </c>
      <c r="C17" s="244">
        <v>2496888000000</v>
      </c>
      <c r="D17" s="57">
        <f>D18+D31</f>
        <v>2485888000000</v>
      </c>
      <c r="E17" s="43">
        <f t="shared" ref="E17:F17" si="8">E18+E31</f>
        <v>25537273834</v>
      </c>
      <c r="F17" s="43">
        <f t="shared" si="8"/>
        <v>241166157142</v>
      </c>
      <c r="G17" s="39">
        <f t="shared" si="2"/>
        <v>9.7014087980633074E-2</v>
      </c>
      <c r="H17" s="43">
        <f t="shared" ref="H17:I17" si="9">H18+H31</f>
        <v>146192151387</v>
      </c>
      <c r="I17" s="43">
        <f t="shared" si="9"/>
        <v>442971647900</v>
      </c>
      <c r="J17" s="39">
        <f t="shared" si="3"/>
        <v>0.17819453165227073</v>
      </c>
      <c r="K17" s="39">
        <f>I17/384396168727</f>
        <v>1.15238309832011</v>
      </c>
      <c r="L17" s="5"/>
      <c r="M17" s="43">
        <f t="shared" ref="M17" si="10">M18+M31</f>
        <v>424465922630</v>
      </c>
    </row>
    <row r="18" spans="1:13" s="35" customFormat="1" ht="26.25" customHeight="1">
      <c r="A18" s="55" t="s">
        <v>88</v>
      </c>
      <c r="B18" s="55" t="s">
        <v>89</v>
      </c>
      <c r="C18" s="56"/>
      <c r="D18" s="57">
        <f>SUM(D19:D30)</f>
        <v>2176115000000</v>
      </c>
      <c r="E18" s="43">
        <f t="shared" ref="E18:F18" si="11">SUM(E19:E30)</f>
        <v>16795534627</v>
      </c>
      <c r="F18" s="43">
        <f t="shared" si="11"/>
        <v>212771469620</v>
      </c>
      <c r="G18" s="39">
        <f t="shared" si="2"/>
        <v>9.7775838878000468E-2</v>
      </c>
      <c r="H18" s="43">
        <f t="shared" ref="H18:I18" si="12">SUM(H19:H30)</f>
        <v>120341082731</v>
      </c>
      <c r="I18" s="43">
        <f t="shared" si="12"/>
        <v>370794543129</v>
      </c>
      <c r="J18" s="39">
        <f t="shared" si="3"/>
        <v>0.17039289887207248</v>
      </c>
      <c r="K18" s="39">
        <f>I18/332560575210</f>
        <v>1.1149684321265581</v>
      </c>
      <c r="L18" s="5"/>
      <c r="M18" s="43">
        <f t="shared" ref="M18" si="13">SUM(M19:M30)</f>
        <v>377732607000</v>
      </c>
    </row>
    <row r="19" spans="1:13" s="35" customFormat="1" ht="26.25" customHeight="1">
      <c r="A19" s="59">
        <v>1</v>
      </c>
      <c r="B19" s="60" t="s">
        <v>90</v>
      </c>
      <c r="C19" s="162"/>
      <c r="D19" s="111">
        <v>9000000000</v>
      </c>
      <c r="E19" s="61">
        <v>0</v>
      </c>
      <c r="F19" s="61">
        <v>192817000</v>
      </c>
      <c r="G19" s="163">
        <f t="shared" si="2"/>
        <v>2.1424111111111113E-2</v>
      </c>
      <c r="H19" s="61">
        <v>3513582487</v>
      </c>
      <c r="I19" s="61">
        <v>3908308832</v>
      </c>
      <c r="J19" s="190">
        <f t="shared" si="3"/>
        <v>0.43425653688888888</v>
      </c>
      <c r="K19" s="190">
        <f>I19/262308928</f>
        <v>14.899640899756184</v>
      </c>
      <c r="M19" s="61">
        <v>10912000</v>
      </c>
    </row>
    <row r="20" spans="1:13" s="35" customFormat="1" ht="26.25" customHeight="1">
      <c r="A20" s="59">
        <v>2</v>
      </c>
      <c r="B20" s="63" t="s">
        <v>24</v>
      </c>
      <c r="C20" s="164"/>
      <c r="D20" s="112">
        <v>26745000000</v>
      </c>
      <c r="E20" s="64">
        <v>1440989028</v>
      </c>
      <c r="F20" s="64">
        <v>2418016020</v>
      </c>
      <c r="G20" s="165">
        <f t="shared" si="2"/>
        <v>9.0410021312394839E-2</v>
      </c>
      <c r="H20" s="64">
        <v>1964823917</v>
      </c>
      <c r="I20" s="64">
        <v>5620459117</v>
      </c>
      <c r="J20" s="191">
        <f t="shared" si="3"/>
        <v>0.21014990155169191</v>
      </c>
      <c r="K20" s="191">
        <f>I20/3739257026</f>
        <v>1.503095154443657</v>
      </c>
      <c r="L20" s="161"/>
      <c r="M20" s="64">
        <v>3334023769</v>
      </c>
    </row>
    <row r="21" spans="1:13" s="35" customFormat="1" ht="26.25" customHeight="1">
      <c r="A21" s="59">
        <v>3</v>
      </c>
      <c r="B21" s="65" t="s">
        <v>91</v>
      </c>
      <c r="C21" s="166">
        <v>1166206000000</v>
      </c>
      <c r="D21" s="112">
        <v>1191206000000</v>
      </c>
      <c r="E21" s="66">
        <v>12282623852</v>
      </c>
      <c r="F21" s="66">
        <v>145016123123</v>
      </c>
      <c r="G21" s="165">
        <f t="shared" si="2"/>
        <v>0.12173891260033949</v>
      </c>
      <c r="H21" s="66">
        <v>88774475054</v>
      </c>
      <c r="I21" s="66">
        <v>262861392068</v>
      </c>
      <c r="J21" s="191">
        <f t="shared" si="3"/>
        <v>0.22066829084809847</v>
      </c>
      <c r="K21" s="191">
        <f>I21/219614869690</f>
        <v>1.1969198280564752</v>
      </c>
      <c r="M21" s="66">
        <v>207927861514</v>
      </c>
    </row>
    <row r="22" spans="1:13" s="35" customFormat="1" ht="26.25" customHeight="1">
      <c r="A22" s="59">
        <v>4</v>
      </c>
      <c r="B22" s="65" t="s">
        <v>92</v>
      </c>
      <c r="C22" s="166"/>
      <c r="D22" s="112">
        <v>71225000000</v>
      </c>
      <c r="E22" s="66">
        <v>0</v>
      </c>
      <c r="F22" s="66">
        <v>0</v>
      </c>
      <c r="G22" s="165">
        <f t="shared" si="2"/>
        <v>0</v>
      </c>
      <c r="H22" s="66">
        <v>0</v>
      </c>
      <c r="I22" s="66">
        <v>0</v>
      </c>
      <c r="J22" s="191">
        <f t="shared" si="3"/>
        <v>0</v>
      </c>
      <c r="K22" s="191"/>
      <c r="M22" s="66">
        <v>29227127641</v>
      </c>
    </row>
    <row r="23" spans="1:13" s="35" customFormat="1" ht="26.25" customHeight="1">
      <c r="A23" s="59">
        <v>5</v>
      </c>
      <c r="B23" s="65" t="s">
        <v>93</v>
      </c>
      <c r="C23" s="166"/>
      <c r="D23" s="112">
        <v>33097000000</v>
      </c>
      <c r="E23" s="66">
        <v>768537644</v>
      </c>
      <c r="F23" s="66">
        <v>2310096856</v>
      </c>
      <c r="G23" s="165">
        <f t="shared" si="2"/>
        <v>6.9797771882647977E-2</v>
      </c>
      <c r="H23" s="66">
        <v>6211501205</v>
      </c>
      <c r="I23" s="66">
        <v>12785280233</v>
      </c>
      <c r="J23" s="191">
        <f t="shared" si="3"/>
        <v>0.38629725452457925</v>
      </c>
      <c r="K23" s="191">
        <f>I23/3613296332</f>
        <v>3.5383979220777624</v>
      </c>
      <c r="M23" s="66">
        <v>1732550829</v>
      </c>
    </row>
    <row r="24" spans="1:13" s="35" customFormat="1" ht="26.25" customHeight="1">
      <c r="A24" s="59">
        <v>6</v>
      </c>
      <c r="B24" s="65" t="s">
        <v>94</v>
      </c>
      <c r="C24" s="166"/>
      <c r="D24" s="112">
        <v>2337000000</v>
      </c>
      <c r="E24" s="66">
        <v>68967247</v>
      </c>
      <c r="F24" s="66">
        <v>161312035</v>
      </c>
      <c r="G24" s="165">
        <f t="shared" si="2"/>
        <v>6.9025261018399661E-2</v>
      </c>
      <c r="H24" s="66">
        <v>84576493</v>
      </c>
      <c r="I24" s="66">
        <v>258627350</v>
      </c>
      <c r="J24" s="191">
        <f t="shared" si="3"/>
        <v>0.11066638853230637</v>
      </c>
      <c r="K24" s="191">
        <f>I24/249970634</f>
        <v>1.0346309318877833</v>
      </c>
      <c r="M24" s="66">
        <v>215897297</v>
      </c>
    </row>
    <row r="25" spans="1:13" s="35" customFormat="1" ht="26.25" customHeight="1">
      <c r="A25" s="59">
        <v>7</v>
      </c>
      <c r="B25" s="65" t="s">
        <v>95</v>
      </c>
      <c r="C25" s="166"/>
      <c r="D25" s="112">
        <v>2840000000</v>
      </c>
      <c r="E25" s="66">
        <v>32254942</v>
      </c>
      <c r="F25" s="66">
        <v>191408828</v>
      </c>
      <c r="G25" s="165">
        <f t="shared" si="2"/>
        <v>6.7397474647887326E-2</v>
      </c>
      <c r="H25" s="66">
        <v>254362800</v>
      </c>
      <c r="I25" s="66">
        <v>603150800</v>
      </c>
      <c r="J25" s="191">
        <f t="shared" si="3"/>
        <v>0.21237704225352114</v>
      </c>
      <c r="K25" s="191">
        <f>I25/366114133</f>
        <v>1.6474392699830573</v>
      </c>
      <c r="M25" s="66">
        <v>307167871</v>
      </c>
    </row>
    <row r="26" spans="1:13" s="35" customFormat="1" ht="26.25" customHeight="1">
      <c r="A26" s="59">
        <v>8</v>
      </c>
      <c r="B26" s="65" t="s">
        <v>96</v>
      </c>
      <c r="C26" s="166">
        <v>335205000000</v>
      </c>
      <c r="D26" s="112">
        <v>335205000000</v>
      </c>
      <c r="E26" s="66">
        <v>0</v>
      </c>
      <c r="F26" s="66">
        <v>0</v>
      </c>
      <c r="G26" s="165">
        <f t="shared" si="2"/>
        <v>0</v>
      </c>
      <c r="H26" s="66">
        <v>0</v>
      </c>
      <c r="I26" s="66">
        <v>0</v>
      </c>
      <c r="J26" s="191">
        <f t="shared" si="3"/>
        <v>0</v>
      </c>
      <c r="K26" s="191">
        <v>0</v>
      </c>
      <c r="M26" s="66">
        <v>36045559278</v>
      </c>
    </row>
    <row r="27" spans="1:13" s="35" customFormat="1" ht="26.25" customHeight="1">
      <c r="A27" s="59">
        <v>9</v>
      </c>
      <c r="B27" s="65" t="s">
        <v>97</v>
      </c>
      <c r="C27" s="166"/>
      <c r="D27" s="112">
        <v>221289000000</v>
      </c>
      <c r="E27" s="66">
        <v>2544249539</v>
      </c>
      <c r="F27" s="66">
        <v>2544249539</v>
      </c>
      <c r="G27" s="165">
        <f t="shared" si="2"/>
        <v>1.149740628318624E-2</v>
      </c>
      <c r="H27" s="66">
        <v>2513859230</v>
      </c>
      <c r="I27" s="66">
        <v>3813307925</v>
      </c>
      <c r="J27" s="191">
        <f t="shared" si="3"/>
        <v>1.7232252506902739E-2</v>
      </c>
      <c r="K27" s="191">
        <f>I27/9286317031</f>
        <v>0.41063727549579071</v>
      </c>
      <c r="M27" s="66">
        <v>31635166155</v>
      </c>
    </row>
    <row r="28" spans="1:13" s="35" customFormat="1" ht="26.25" customHeight="1">
      <c r="A28" s="59">
        <v>10</v>
      </c>
      <c r="B28" s="65" t="s">
        <v>159</v>
      </c>
      <c r="C28" s="166"/>
      <c r="D28" s="112">
        <v>98483000000</v>
      </c>
      <c r="E28" s="66">
        <v>1532672375</v>
      </c>
      <c r="F28" s="66">
        <v>24179406219</v>
      </c>
      <c r="G28" s="165">
        <f t="shared" si="2"/>
        <v>0.24551857903394494</v>
      </c>
      <c r="H28" s="66">
        <v>3955771305</v>
      </c>
      <c r="I28" s="66">
        <v>28919046124</v>
      </c>
      <c r="J28" s="191">
        <f t="shared" si="3"/>
        <v>0.29364505675091135</v>
      </c>
      <c r="K28" s="191">
        <f>I28/27887036653</f>
        <v>1.0370067814605528</v>
      </c>
      <c r="M28" s="66">
        <v>26207290646</v>
      </c>
    </row>
    <row r="29" spans="1:13" s="35" customFormat="1" ht="26.25" customHeight="1">
      <c r="A29" s="59">
        <v>11</v>
      </c>
      <c r="B29" s="67" t="s">
        <v>98</v>
      </c>
      <c r="C29" s="166"/>
      <c r="D29" s="112">
        <v>182724000000</v>
      </c>
      <c r="E29" s="66">
        <v>-1874760000</v>
      </c>
      <c r="F29" s="66">
        <v>35758040000</v>
      </c>
      <c r="G29" s="165">
        <f t="shared" si="2"/>
        <v>0.19569427114117466</v>
      </c>
      <c r="H29" s="66">
        <v>13068130240</v>
      </c>
      <c r="I29" s="66">
        <v>52024970680</v>
      </c>
      <c r="J29" s="191">
        <f t="shared" si="3"/>
        <v>0.28471886933298307</v>
      </c>
      <c r="K29" s="191">
        <f>I29/65251455500</f>
        <v>0.79729977333609059</v>
      </c>
      <c r="M29" s="66">
        <v>41089050000</v>
      </c>
    </row>
    <row r="30" spans="1:13" s="35" customFormat="1" ht="26.25" customHeight="1">
      <c r="A30" s="59">
        <v>12</v>
      </c>
      <c r="B30" s="68" t="s">
        <v>99</v>
      </c>
      <c r="C30" s="167"/>
      <c r="D30" s="113">
        <v>1964000000</v>
      </c>
      <c r="E30" s="69">
        <v>0</v>
      </c>
      <c r="F30" s="61">
        <v>0</v>
      </c>
      <c r="G30" s="168">
        <f t="shared" si="2"/>
        <v>0</v>
      </c>
      <c r="H30" s="69">
        <v>0</v>
      </c>
      <c r="I30" s="69">
        <v>0</v>
      </c>
      <c r="J30" s="192">
        <f t="shared" si="3"/>
        <v>0</v>
      </c>
      <c r="K30" s="192">
        <v>0</v>
      </c>
      <c r="M30" s="62">
        <f t="shared" ref="M30" si="14">L30</f>
        <v>0</v>
      </c>
    </row>
    <row r="31" spans="1:13" s="35" customFormat="1" ht="26.25" customHeight="1">
      <c r="A31" s="70" t="s">
        <v>100</v>
      </c>
      <c r="B31" s="70" t="s">
        <v>101</v>
      </c>
      <c r="C31" s="169"/>
      <c r="D31" s="71">
        <f>D33</f>
        <v>309773000000</v>
      </c>
      <c r="E31" s="71">
        <f>SUM(E32:E33)</f>
        <v>8741739207</v>
      </c>
      <c r="F31" s="71">
        <f>SUM(F32:F33)</f>
        <v>28394687522</v>
      </c>
      <c r="G31" s="72">
        <f t="shared" si="2"/>
        <v>9.1662887088287223E-2</v>
      </c>
      <c r="H31" s="71">
        <f>SUM(H32:H33)</f>
        <v>25851068656</v>
      </c>
      <c r="I31" s="71">
        <f>SUM(I32:I33)</f>
        <v>72177104771</v>
      </c>
      <c r="J31" s="39">
        <f t="shared" si="3"/>
        <v>0.23299998634806779</v>
      </c>
      <c r="K31" s="39">
        <f>I31/51835593517</f>
        <v>1.3924236200233493</v>
      </c>
      <c r="M31" s="71">
        <f>M32+M33</f>
        <v>46733315630</v>
      </c>
    </row>
    <row r="32" spans="1:13" s="35" customFormat="1" ht="26.25" customHeight="1">
      <c r="A32" s="73">
        <v>1</v>
      </c>
      <c r="B32" s="74" t="s">
        <v>36</v>
      </c>
      <c r="C32" s="169"/>
      <c r="D32" s="58">
        <v>0</v>
      </c>
      <c r="E32" s="58"/>
      <c r="F32" s="58"/>
      <c r="G32" s="158"/>
      <c r="H32" s="54">
        <v>1030976477</v>
      </c>
      <c r="I32" s="58">
        <v>13852202477</v>
      </c>
      <c r="J32" s="39"/>
      <c r="K32" s="39"/>
      <c r="L32" s="40"/>
      <c r="M32" s="75"/>
    </row>
    <row r="33" spans="1:13" s="35" customFormat="1">
      <c r="A33" s="77">
        <v>2</v>
      </c>
      <c r="B33" s="70" t="s">
        <v>25</v>
      </c>
      <c r="C33" s="169"/>
      <c r="D33" s="43">
        <f>SUM(D34:D43)</f>
        <v>309773000000</v>
      </c>
      <c r="E33" s="43">
        <f t="shared" ref="E33:F33" si="15">SUM(E34:E43)</f>
        <v>8741739207</v>
      </c>
      <c r="F33" s="43">
        <f t="shared" si="15"/>
        <v>28394687522</v>
      </c>
      <c r="G33" s="39">
        <f t="shared" ref="G33:G38" si="16">F33/D33*100%</f>
        <v>9.1662887088287223E-2</v>
      </c>
      <c r="H33" s="43">
        <f t="shared" ref="H33:I33" si="17">SUM(H34:H43)</f>
        <v>24820092179</v>
      </c>
      <c r="I33" s="43">
        <f t="shared" si="17"/>
        <v>58324902294</v>
      </c>
      <c r="J33" s="39">
        <f t="shared" si="3"/>
        <v>0.18828271764808424</v>
      </c>
      <c r="K33" s="39">
        <f>I33/51202357717</f>
        <v>1.1391057930645878</v>
      </c>
      <c r="M33" s="43">
        <f t="shared" ref="M33" si="18">SUM(M34:M43)</f>
        <v>46733315630</v>
      </c>
    </row>
    <row r="34" spans="1:13" s="35" customFormat="1">
      <c r="A34" s="59" t="s">
        <v>102</v>
      </c>
      <c r="B34" s="60" t="s">
        <v>90</v>
      </c>
      <c r="C34" s="170"/>
      <c r="D34" s="78">
        <v>26962000000</v>
      </c>
      <c r="E34" s="78">
        <v>854116149</v>
      </c>
      <c r="F34" s="78">
        <v>1697799731</v>
      </c>
      <c r="G34" s="171">
        <f t="shared" si="16"/>
        <v>6.2970096098212303E-2</v>
      </c>
      <c r="H34" s="78">
        <v>1551143786</v>
      </c>
      <c r="I34" s="78">
        <v>3489721168</v>
      </c>
      <c r="J34" s="190">
        <f t="shared" si="3"/>
        <v>0.12943109442919665</v>
      </c>
      <c r="K34" s="190">
        <f>I34/2943653526</f>
        <v>1.1855067646979591</v>
      </c>
      <c r="M34" s="78">
        <v>2703062729</v>
      </c>
    </row>
    <row r="35" spans="1:13" s="35" customFormat="1">
      <c r="A35" s="59" t="s">
        <v>103</v>
      </c>
      <c r="B35" s="63" t="s">
        <v>24</v>
      </c>
      <c r="C35" s="172"/>
      <c r="D35" s="66">
        <v>51847000000</v>
      </c>
      <c r="E35" s="66">
        <v>2804656614</v>
      </c>
      <c r="F35" s="66">
        <v>4172644107</v>
      </c>
      <c r="G35" s="173">
        <f t="shared" si="16"/>
        <v>8.0479952687715781E-2</v>
      </c>
      <c r="H35" s="66">
        <v>4211863975</v>
      </c>
      <c r="I35" s="66">
        <v>8295922680</v>
      </c>
      <c r="J35" s="191">
        <f t="shared" si="3"/>
        <v>0.1600077666981696</v>
      </c>
      <c r="K35" s="191">
        <f>I35/8446863922</f>
        <v>0.98213049915402673</v>
      </c>
      <c r="M35" s="66">
        <v>6932257569</v>
      </c>
    </row>
    <row r="36" spans="1:13" s="35" customFormat="1">
      <c r="A36" s="59" t="s">
        <v>104</v>
      </c>
      <c r="B36" s="79" t="s">
        <v>93</v>
      </c>
      <c r="C36" s="172"/>
      <c r="D36" s="66">
        <v>1212000000</v>
      </c>
      <c r="E36" s="66">
        <v>143420597</v>
      </c>
      <c r="F36" s="66">
        <v>251912097</v>
      </c>
      <c r="G36" s="173">
        <f t="shared" si="16"/>
        <v>0.20784826485148514</v>
      </c>
      <c r="H36" s="66">
        <v>153636978</v>
      </c>
      <c r="I36" s="66">
        <v>438442757</v>
      </c>
      <c r="J36" s="191">
        <f t="shared" si="3"/>
        <v>0.36175144966996697</v>
      </c>
      <c r="K36" s="191">
        <f>I36/405367097</f>
        <v>1.0815943381808317</v>
      </c>
      <c r="M36" s="66">
        <v>198138800</v>
      </c>
    </row>
    <row r="37" spans="1:13" s="35" customFormat="1">
      <c r="A37" s="59" t="s">
        <v>105</v>
      </c>
      <c r="B37" s="79" t="s">
        <v>94</v>
      </c>
      <c r="C37" s="172"/>
      <c r="D37" s="66">
        <v>1004000000</v>
      </c>
      <c r="E37" s="66">
        <v>38933935</v>
      </c>
      <c r="F37" s="66">
        <v>47074113</v>
      </c>
      <c r="G37" s="173">
        <f t="shared" si="16"/>
        <v>4.6886566733067729E-2</v>
      </c>
      <c r="H37" s="66">
        <v>8702036</v>
      </c>
      <c r="I37" s="66">
        <v>38806502</v>
      </c>
      <c r="J37" s="191">
        <f t="shared" si="3"/>
        <v>3.8651894422310755E-2</v>
      </c>
      <c r="K37" s="191">
        <f>I37/51828545</f>
        <v>0.74874766405269533</v>
      </c>
      <c r="M37" s="66">
        <v>14825808</v>
      </c>
    </row>
    <row r="38" spans="1:13" s="35" customFormat="1">
      <c r="A38" s="59" t="s">
        <v>106</v>
      </c>
      <c r="B38" s="79" t="s">
        <v>95</v>
      </c>
      <c r="C38" s="172"/>
      <c r="D38" s="66">
        <v>1146000000</v>
      </c>
      <c r="E38" s="66">
        <v>8990000</v>
      </c>
      <c r="F38" s="66">
        <v>11414000</v>
      </c>
      <c r="G38" s="173">
        <f t="shared" si="16"/>
        <v>9.9598603839441534E-3</v>
      </c>
      <c r="H38" s="66">
        <v>40197540</v>
      </c>
      <c r="I38" s="66">
        <v>74272260</v>
      </c>
      <c r="J38" s="191">
        <f t="shared" si="3"/>
        <v>6.4810000000000006E-2</v>
      </c>
      <c r="K38" s="191">
        <f>I38/84344500</f>
        <v>0.88058213635743887</v>
      </c>
      <c r="M38" s="66">
        <v>49686040</v>
      </c>
    </row>
    <row r="39" spans="1:13" s="35" customFormat="1">
      <c r="A39" s="59" t="s">
        <v>107</v>
      </c>
      <c r="B39" s="79" t="s">
        <v>96</v>
      </c>
      <c r="C39" s="172"/>
      <c r="D39" s="66">
        <v>0</v>
      </c>
      <c r="E39" s="66">
        <v>8378150</v>
      </c>
      <c r="F39" s="66">
        <v>17778150</v>
      </c>
      <c r="G39" s="173">
        <v>0</v>
      </c>
      <c r="H39" s="66">
        <v>6800000</v>
      </c>
      <c r="I39" s="66">
        <v>10600000</v>
      </c>
      <c r="J39" s="191"/>
      <c r="K39" s="191">
        <f>I39/23601721</f>
        <v>0.44911979088304621</v>
      </c>
      <c r="M39" s="66">
        <v>9700000</v>
      </c>
    </row>
    <row r="40" spans="1:13" s="35" customFormat="1">
      <c r="A40" s="59" t="s">
        <v>108</v>
      </c>
      <c r="B40" s="79" t="s">
        <v>97</v>
      </c>
      <c r="C40" s="172"/>
      <c r="D40" s="66">
        <v>3380000000</v>
      </c>
      <c r="E40" s="66">
        <v>28830250</v>
      </c>
      <c r="F40" s="66">
        <v>43882250</v>
      </c>
      <c r="G40" s="173">
        <f>F40/D40*100%</f>
        <v>1.2982914201183433E-2</v>
      </c>
      <c r="H40" s="66">
        <v>64738648</v>
      </c>
      <c r="I40" s="66">
        <v>146469868</v>
      </c>
      <c r="J40" s="191">
        <f t="shared" si="3"/>
        <v>4.3334280473372781E-2</v>
      </c>
      <c r="K40" s="191">
        <f>I40/116086759</f>
        <v>1.261727601508799</v>
      </c>
      <c r="M40" s="66">
        <v>184436145</v>
      </c>
    </row>
    <row r="41" spans="1:13" s="35" customFormat="1">
      <c r="A41" s="59" t="s">
        <v>109</v>
      </c>
      <c r="B41" s="79" t="s">
        <v>110</v>
      </c>
      <c r="C41" s="172"/>
      <c r="D41" s="66">
        <v>187490000000</v>
      </c>
      <c r="E41" s="66">
        <v>3620009080</v>
      </c>
      <c r="F41" s="66">
        <v>20152096625</v>
      </c>
      <c r="G41" s="173">
        <f>F41/D41*100%</f>
        <v>0.10748358112432663</v>
      </c>
      <c r="H41" s="66">
        <v>15447196442</v>
      </c>
      <c r="I41" s="66">
        <v>40657395038</v>
      </c>
      <c r="J41" s="191">
        <f t="shared" si="3"/>
        <v>0.21685100558963144</v>
      </c>
      <c r="K41" s="191">
        <f>I41/33175851262</f>
        <v>1.2255117349338205</v>
      </c>
      <c r="M41" s="66">
        <v>31646095579</v>
      </c>
    </row>
    <row r="42" spans="1:13" s="35" customFormat="1">
      <c r="A42" s="59" t="s">
        <v>111</v>
      </c>
      <c r="B42" s="80" t="s">
        <v>98</v>
      </c>
      <c r="C42" s="172"/>
      <c r="D42" s="66">
        <v>939000000</v>
      </c>
      <c r="E42" s="66">
        <v>37660000</v>
      </c>
      <c r="F42" s="66">
        <v>91584000</v>
      </c>
      <c r="G42" s="173">
        <f>F42/D42*100%</f>
        <v>9.7533546325878601E-2</v>
      </c>
      <c r="H42" s="66">
        <v>6960000</v>
      </c>
      <c r="I42" s="66">
        <v>57174600</v>
      </c>
      <c r="J42" s="191">
        <f t="shared" si="3"/>
        <v>6.0888817891373799E-2</v>
      </c>
      <c r="K42" s="191">
        <f>I42/112889000</f>
        <v>0.50646741489427671</v>
      </c>
      <c r="M42" s="66">
        <v>67542000</v>
      </c>
    </row>
    <row r="43" spans="1:13" s="35" customFormat="1">
      <c r="A43" s="59" t="s">
        <v>112</v>
      </c>
      <c r="B43" s="81" t="s">
        <v>99</v>
      </c>
      <c r="C43" s="174"/>
      <c r="D43" s="69">
        <v>35793000000</v>
      </c>
      <c r="E43" s="69">
        <v>1196744432</v>
      </c>
      <c r="F43" s="69">
        <v>1908502449</v>
      </c>
      <c r="G43" s="175">
        <f>F43/D43*100%</f>
        <v>5.332055007962451E-2</v>
      </c>
      <c r="H43" s="69">
        <v>3328852774</v>
      </c>
      <c r="I43" s="69">
        <v>5116097421</v>
      </c>
      <c r="J43" s="192">
        <f t="shared" si="3"/>
        <v>0.14293569751068644</v>
      </c>
      <c r="K43" s="192">
        <f>I43/5841871385</f>
        <v>0.87576344699002651</v>
      </c>
      <c r="M43" s="82">
        <v>4927570960</v>
      </c>
    </row>
    <row r="44" spans="1:13" s="35" customFormat="1" ht="27" customHeight="1">
      <c r="A44" s="70" t="s">
        <v>9</v>
      </c>
      <c r="B44" s="83" t="s">
        <v>173</v>
      </c>
      <c r="C44" s="169"/>
      <c r="D44" s="57"/>
      <c r="E44" s="43"/>
      <c r="F44" s="43"/>
      <c r="G44" s="158"/>
      <c r="H44" s="43"/>
      <c r="I44" s="78"/>
      <c r="J44" s="39"/>
      <c r="K44" s="39"/>
      <c r="M44" s="84"/>
    </row>
    <row r="45" spans="1:13" s="35" customFormat="1" ht="33" customHeight="1">
      <c r="A45" s="70" t="s">
        <v>11</v>
      </c>
      <c r="B45" s="83" t="s">
        <v>174</v>
      </c>
      <c r="C45" s="176"/>
      <c r="D45" s="46">
        <v>11000000000</v>
      </c>
      <c r="E45" s="43">
        <v>10000000000</v>
      </c>
      <c r="F45" s="43">
        <v>10000000000</v>
      </c>
      <c r="G45" s="39"/>
      <c r="H45" s="43">
        <v>0</v>
      </c>
      <c r="I45" s="78">
        <f>H45+F45</f>
        <v>10000000000</v>
      </c>
      <c r="J45" s="39">
        <f t="shared" si="3"/>
        <v>0.90909090909090906</v>
      </c>
      <c r="K45" s="39">
        <f>I45/10000000000</f>
        <v>1</v>
      </c>
      <c r="M45" s="84">
        <v>11000000000</v>
      </c>
    </row>
    <row r="46" spans="1:13" s="44" customFormat="1" ht="29.25">
      <c r="A46" s="85" t="s">
        <v>46</v>
      </c>
      <c r="B46" s="86" t="s">
        <v>160</v>
      </c>
      <c r="C46" s="87"/>
      <c r="D46" s="157"/>
      <c r="E46" s="43">
        <v>0</v>
      </c>
      <c r="F46" s="43">
        <v>0</v>
      </c>
      <c r="G46" s="158"/>
      <c r="H46" s="43"/>
      <c r="I46" s="177"/>
      <c r="J46" s="49"/>
      <c r="K46" s="39"/>
      <c r="M46" s="88">
        <v>0</v>
      </c>
    </row>
    <row r="47" spans="1:13" s="35" customFormat="1">
      <c r="A47" s="70" t="s">
        <v>2</v>
      </c>
      <c r="B47" s="70" t="s">
        <v>113</v>
      </c>
      <c r="C47" s="169"/>
      <c r="D47" s="57">
        <f>D48</f>
        <v>0</v>
      </c>
      <c r="E47" s="57">
        <f>E48</f>
        <v>934000000</v>
      </c>
      <c r="F47" s="57">
        <f>F48</f>
        <v>10076000000</v>
      </c>
      <c r="G47" s="39"/>
      <c r="H47" s="57">
        <f>H48</f>
        <v>3350000000</v>
      </c>
      <c r="I47" s="43">
        <f>I48</f>
        <v>13869000000</v>
      </c>
      <c r="J47" s="39"/>
      <c r="K47" s="39">
        <f>I47/15291000000</f>
        <v>0.9070041200706298</v>
      </c>
      <c r="M47" s="76">
        <f>M48</f>
        <v>25517000000</v>
      </c>
    </row>
    <row r="48" spans="1:13" s="35" customFormat="1">
      <c r="A48" s="89"/>
      <c r="B48" s="90" t="s">
        <v>114</v>
      </c>
      <c r="C48" s="178"/>
      <c r="D48" s="179"/>
      <c r="E48" s="92">
        <f>SUM(E49:E50)</f>
        <v>934000000</v>
      </c>
      <c r="F48" s="92">
        <f>F49+F50</f>
        <v>10076000000</v>
      </c>
      <c r="G48" s="158"/>
      <c r="H48" s="92">
        <f>SUM(H49:H50)</f>
        <v>3350000000</v>
      </c>
      <c r="I48" s="92">
        <f>I49+I50</f>
        <v>13869000000</v>
      </c>
      <c r="J48" s="39"/>
      <c r="K48" s="39">
        <v>0.91</v>
      </c>
      <c r="M48" s="92">
        <f>SUM(M49:M50)</f>
        <v>25517000000</v>
      </c>
    </row>
    <row r="49" spans="1:13" s="35" customFormat="1" ht="21" customHeight="1">
      <c r="A49" s="178">
        <v>1</v>
      </c>
      <c r="B49" s="178" t="s">
        <v>115</v>
      </c>
      <c r="C49" s="178"/>
      <c r="D49" s="179"/>
      <c r="E49" s="91">
        <v>934000000</v>
      </c>
      <c r="F49" s="91">
        <v>10076000000</v>
      </c>
      <c r="G49" s="158"/>
      <c r="H49" s="91">
        <v>3350000000</v>
      </c>
      <c r="I49" s="91">
        <v>9161000000</v>
      </c>
      <c r="J49" s="39"/>
      <c r="K49" s="39"/>
      <c r="M49" s="91">
        <v>25517000000</v>
      </c>
    </row>
    <row r="50" spans="1:13" s="35" customFormat="1" ht="26.25" customHeight="1">
      <c r="A50" s="93">
        <v>2</v>
      </c>
      <c r="B50" s="93" t="s">
        <v>116</v>
      </c>
      <c r="C50" s="93"/>
      <c r="D50" s="180"/>
      <c r="E50" s="178">
        <v>0</v>
      </c>
      <c r="F50" s="178">
        <v>0</v>
      </c>
      <c r="G50" s="91"/>
      <c r="H50" s="178">
        <v>0</v>
      </c>
      <c r="I50" s="178">
        <v>4708000000</v>
      </c>
      <c r="J50" s="39"/>
      <c r="K50" s="39"/>
      <c r="L50" s="5"/>
      <c r="M50" s="94">
        <v>0</v>
      </c>
    </row>
    <row r="51" spans="1:13" s="35" customFormat="1" ht="26.25" customHeight="1">
      <c r="A51" s="55" t="s">
        <v>10</v>
      </c>
      <c r="B51" s="55" t="s">
        <v>49</v>
      </c>
      <c r="C51" s="56"/>
      <c r="D51" s="181">
        <v>0</v>
      </c>
      <c r="E51" s="57">
        <v>0</v>
      </c>
      <c r="F51" s="76">
        <v>38916642590</v>
      </c>
      <c r="G51" s="76"/>
      <c r="H51" s="57">
        <v>23667481</v>
      </c>
      <c r="I51" s="57">
        <v>23667481</v>
      </c>
      <c r="J51" s="76"/>
      <c r="K51" s="76"/>
      <c r="M51" s="76">
        <v>26825994349</v>
      </c>
    </row>
    <row r="52" spans="1:13" s="35" customFormat="1" ht="26.25" customHeight="1">
      <c r="A52" s="95" t="s">
        <v>23</v>
      </c>
      <c r="B52" s="96" t="s">
        <v>117</v>
      </c>
      <c r="C52" s="97">
        <v>63300000000</v>
      </c>
      <c r="D52" s="97">
        <f>C52</f>
        <v>63300000000</v>
      </c>
      <c r="E52" s="98"/>
      <c r="F52" s="98"/>
      <c r="G52" s="99"/>
      <c r="H52" s="98"/>
      <c r="I52" s="98"/>
      <c r="J52" s="99"/>
      <c r="K52" s="99"/>
      <c r="M52" s="99">
        <v>0</v>
      </c>
    </row>
    <row r="53" spans="1:13" s="35" customFormat="1" ht="26.25" customHeight="1">
      <c r="A53" s="36"/>
      <c r="B53" s="178" t="s">
        <v>89</v>
      </c>
      <c r="C53" s="178"/>
      <c r="D53" s="178">
        <v>57105000000</v>
      </c>
      <c r="E53" s="178"/>
      <c r="F53" s="178"/>
      <c r="G53" s="100"/>
      <c r="H53" s="178"/>
      <c r="I53" s="178"/>
      <c r="J53" s="100"/>
      <c r="K53" s="100"/>
      <c r="M53" s="100"/>
    </row>
    <row r="54" spans="1:13" s="35" customFormat="1" ht="26.25" customHeight="1">
      <c r="A54" s="36"/>
      <c r="B54" s="178" t="s">
        <v>118</v>
      </c>
      <c r="C54" s="178"/>
      <c r="D54" s="178">
        <v>6195000000</v>
      </c>
      <c r="E54" s="178"/>
      <c r="F54" s="178"/>
      <c r="G54" s="100"/>
      <c r="H54" s="178"/>
      <c r="I54" s="178"/>
      <c r="J54" s="100"/>
      <c r="K54" s="100"/>
      <c r="M54" s="186"/>
    </row>
    <row r="55" spans="1:13" s="35" customFormat="1" ht="26.25" customHeight="1">
      <c r="A55" s="101" t="s">
        <v>119</v>
      </c>
      <c r="B55" s="102" t="s">
        <v>33</v>
      </c>
      <c r="C55" s="103">
        <v>0</v>
      </c>
      <c r="D55" s="103">
        <v>0</v>
      </c>
      <c r="E55" s="104"/>
      <c r="F55" s="104"/>
      <c r="G55" s="105"/>
      <c r="H55" s="104"/>
      <c r="I55" s="104"/>
      <c r="J55" s="105"/>
      <c r="K55" s="105"/>
      <c r="M55" s="187">
        <v>0</v>
      </c>
    </row>
    <row r="56" spans="1:13" s="35" customFormat="1" ht="26.25" customHeight="1">
      <c r="A56" s="95" t="s">
        <v>10</v>
      </c>
      <c r="B56" s="95" t="s">
        <v>120</v>
      </c>
      <c r="C56" s="106"/>
      <c r="D56" s="182">
        <v>0</v>
      </c>
      <c r="E56" s="182"/>
      <c r="F56" s="43" t="e">
        <f>E56+#REF!</f>
        <v>#REF!</v>
      </c>
      <c r="G56" s="183"/>
      <c r="H56" s="182"/>
      <c r="I56" s="43"/>
      <c r="J56" s="183"/>
      <c r="K56" s="183"/>
      <c r="M56" s="188"/>
    </row>
    <row r="57" spans="1:13" s="35" customFormat="1" ht="26.25" customHeight="1">
      <c r="A57" s="101" t="s">
        <v>23</v>
      </c>
      <c r="B57" s="101" t="s">
        <v>121</v>
      </c>
      <c r="C57" s="107"/>
      <c r="D57" s="184">
        <v>0</v>
      </c>
      <c r="E57" s="184"/>
      <c r="F57" s="43" t="e">
        <f>E57+#REF!</f>
        <v>#REF!</v>
      </c>
      <c r="G57" s="185"/>
      <c r="H57" s="184"/>
      <c r="I57" s="43"/>
      <c r="J57" s="185"/>
      <c r="K57" s="185"/>
      <c r="M57" s="189">
        <v>211732505077</v>
      </c>
    </row>
    <row r="58" spans="1:13" ht="26.25" customHeight="1">
      <c r="D58" s="139"/>
    </row>
    <row r="59" spans="1:13" ht="26.25" customHeight="1">
      <c r="B59" s="108"/>
    </row>
    <row r="60" spans="1:13" ht="26.25" customHeight="1"/>
    <row r="61" spans="1:13" ht="26.25" customHeight="1"/>
    <row r="62" spans="1:13" ht="26.25" customHeight="1">
      <c r="C62"/>
    </row>
    <row r="63" spans="1:13" ht="26.25" customHeight="1">
      <c r="B63" s="109"/>
      <c r="C63"/>
    </row>
    <row r="64" spans="1:13" ht="26.25" customHeight="1">
      <c r="B64" s="109"/>
      <c r="C64"/>
    </row>
    <row r="65" spans="2:3" ht="26.25" customHeight="1">
      <c r="B65" s="109"/>
      <c r="C65"/>
    </row>
    <row r="66" spans="2:3" ht="26.25" customHeight="1">
      <c r="C66"/>
    </row>
    <row r="67" spans="2:3" ht="26.25" customHeight="1">
      <c r="C67"/>
    </row>
    <row r="68" spans="2:3" ht="26.25" customHeight="1">
      <c r="C68"/>
    </row>
  </sheetData>
  <mergeCells count="18">
    <mergeCell ref="A5:D5"/>
    <mergeCell ref="A1:B1"/>
    <mergeCell ref="A2:B2"/>
    <mergeCell ref="D1:J1"/>
    <mergeCell ref="D2:J2"/>
    <mergeCell ref="A4:J4"/>
    <mergeCell ref="A7:A8"/>
    <mergeCell ref="B7:B8"/>
    <mergeCell ref="C7:C8"/>
    <mergeCell ref="K7:K8"/>
    <mergeCell ref="M7:M8"/>
    <mergeCell ref="D7:D8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E4A1F4-7E4F-4AFE-9946-604CE1E9B589}"/>
</file>

<file path=customXml/itemProps2.xml><?xml version="1.0" encoding="utf-8"?>
<ds:datastoreItem xmlns:ds="http://schemas.openxmlformats.org/officeDocument/2006/customXml" ds:itemID="{BB3FD0AD-43D2-4C4A-99F7-C683653812D6}"/>
</file>

<file path=customXml/itemProps3.xml><?xml version="1.0" encoding="utf-8"?>
<ds:datastoreItem xmlns:ds="http://schemas.openxmlformats.org/officeDocument/2006/customXml" ds:itemID="{C3FF6349-986A-4067-82B2-5A92A4942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MAU 93-ck (2)</vt:lpstr>
      <vt:lpstr>MAU 94-ck (4)</vt:lpstr>
      <vt:lpstr>MAU 95-CK </vt:lpstr>
      <vt:lpstr>'MAU 93-ck (2)'!Print_Titles</vt:lpstr>
      <vt:lpstr>'MAU 94-ck (4)'!Print_Titles</vt:lpstr>
      <vt:lpstr>'MAU 95-CK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VU BH</dc:creator>
  <cp:lastModifiedBy>hello</cp:lastModifiedBy>
  <cp:lastPrinted>2024-04-08T07:55:44Z</cp:lastPrinted>
  <dcterms:created xsi:type="dcterms:W3CDTF">2017-07-22T05:53:59Z</dcterms:created>
  <dcterms:modified xsi:type="dcterms:W3CDTF">2024-04-08T07:59:34Z</dcterms:modified>
</cp:coreProperties>
</file>